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xcel Templates\"/>
    </mc:Choice>
  </mc:AlternateContent>
  <bookViews>
    <workbookView xWindow="0" yWindow="0" windowWidth="28800" windowHeight="12300"/>
  </bookViews>
  <sheets>
    <sheet name="Calculator" sheetId="1" r:id="rId1"/>
    <sheet name="Data" sheetId="2" state="hidden" r:id="rId2"/>
  </sheets>
  <definedNames>
    <definedName name="Appointment">Data!$A$11:$A$14</definedName>
    <definedName name="Employee">Data!$C$11:$C$12</definedName>
    <definedName name="Insurance">Data!$D$11:$D$17</definedName>
    <definedName name="Position">Data!$B$11:$B$14</definedName>
    <definedName name="_xlnm.Print_Area" localSheetId="0">Calculator!$A$1:$O$46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H47" i="2" l="1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46" i="2"/>
  <c r="F48" i="2"/>
  <c r="F49" i="2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47" i="2"/>
  <c r="F46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11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12" i="2"/>
  <c r="F11" i="2"/>
  <c r="F42" i="2"/>
  <c r="F7" i="2"/>
  <c r="T7" i="1"/>
  <c r="R7" i="1"/>
  <c r="N3" i="1"/>
  <c r="L3" i="1"/>
  <c r="N26" i="1"/>
  <c r="L26" i="1"/>
  <c r="N25" i="1"/>
  <c r="L25" i="1"/>
  <c r="U10" i="1"/>
  <c r="U11" i="1"/>
  <c r="U12" i="1"/>
  <c r="U13" i="1"/>
  <c r="U14" i="1"/>
  <c r="U15" i="1"/>
  <c r="U16" i="1"/>
  <c r="U17" i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9" i="1"/>
  <c r="U8" i="1"/>
  <c r="S11" i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10" i="1"/>
  <c r="S9" i="1"/>
  <c r="E15" i="1" l="1"/>
  <c r="E23" i="1" s="1"/>
  <c r="I46" i="2"/>
  <c r="W12" i="2"/>
  <c r="X12" i="2"/>
  <c r="W13" i="2"/>
  <c r="X13" i="2"/>
  <c r="W14" i="2"/>
  <c r="X14" i="2"/>
  <c r="X36" i="2"/>
  <c r="AF47" i="2"/>
  <c r="AG47" i="2"/>
  <c r="AF48" i="2"/>
  <c r="AG48" i="2"/>
  <c r="AF49" i="2"/>
  <c r="AG49" i="2"/>
  <c r="AG70" i="2"/>
  <c r="AG71" i="2"/>
  <c r="AG46" i="2"/>
  <c r="AF46" i="2"/>
  <c r="AF13" i="2"/>
  <c r="AG13" i="2"/>
  <c r="AF14" i="2"/>
  <c r="AG14" i="2"/>
  <c r="AG36" i="2"/>
  <c r="AG12" i="2"/>
  <c r="AF12" i="2"/>
  <c r="AG11" i="2"/>
  <c r="AF11" i="2"/>
  <c r="X48" i="2"/>
  <c r="X49" i="2"/>
  <c r="X70" i="2"/>
  <c r="X71" i="2"/>
  <c r="X47" i="2"/>
  <c r="X46" i="2"/>
  <c r="W48" i="2"/>
  <c r="W49" i="2"/>
  <c r="W47" i="2"/>
  <c r="W46" i="2"/>
  <c r="X11" i="2"/>
  <c r="W11" i="2"/>
  <c r="F15" i="1"/>
  <c r="F21" i="1" s="1"/>
  <c r="F17" i="1" l="1"/>
  <c r="F18" i="1"/>
  <c r="F23" i="1"/>
  <c r="F20" i="1"/>
  <c r="F19" i="1"/>
  <c r="E19" i="1"/>
  <c r="E17" i="1"/>
  <c r="E21" i="1"/>
  <c r="E20" i="1"/>
  <c r="E18" i="1"/>
  <c r="H1" i="2" l="1"/>
  <c r="I1" i="2" s="1"/>
  <c r="H3" i="2"/>
  <c r="I3" i="2" s="1"/>
  <c r="J3" i="2" s="1"/>
  <c r="H2" i="2"/>
  <c r="I2" i="2" s="1"/>
  <c r="H5" i="2"/>
  <c r="O42" i="1"/>
  <c r="M42" i="1"/>
  <c r="O33" i="1"/>
  <c r="N33" i="1"/>
  <c r="M33" i="1"/>
  <c r="L33" i="1"/>
  <c r="Q46" i="2"/>
  <c r="N46" i="2"/>
  <c r="O40" i="1"/>
  <c r="M40" i="1"/>
  <c r="O39" i="1"/>
  <c r="M39" i="1"/>
  <c r="O38" i="1"/>
  <c r="M38" i="1"/>
  <c r="N37" i="1"/>
  <c r="L37" i="1"/>
  <c r="N36" i="1"/>
  <c r="L36" i="1"/>
  <c r="N34" i="1"/>
  <c r="L34" i="1"/>
  <c r="L44" i="1"/>
  <c r="N44" i="1"/>
  <c r="N32" i="1"/>
  <c r="L32" i="1"/>
  <c r="N13" i="1"/>
  <c r="F22" i="1" s="1"/>
  <c r="L13" i="1"/>
  <c r="E22" i="1" s="1"/>
  <c r="E24" i="1"/>
  <c r="F24" i="1"/>
  <c r="P11" i="2"/>
  <c r="N11" i="2"/>
  <c r="P12" i="2"/>
  <c r="N12" i="2"/>
  <c r="P13" i="2"/>
  <c r="T13" i="2" s="1"/>
  <c r="N13" i="2"/>
  <c r="P14" i="2"/>
  <c r="T14" i="2" s="1"/>
  <c r="N14" i="2"/>
  <c r="P15" i="2"/>
  <c r="N15" i="2"/>
  <c r="P16" i="2"/>
  <c r="N16" i="2"/>
  <c r="P17" i="2"/>
  <c r="N17" i="2"/>
  <c r="P18" i="2"/>
  <c r="N18" i="2"/>
  <c r="P19" i="2"/>
  <c r="T19" i="2" s="1"/>
  <c r="N19" i="2"/>
  <c r="P20" i="2"/>
  <c r="N20" i="2"/>
  <c r="P21" i="2"/>
  <c r="N21" i="2"/>
  <c r="T21" i="2" s="1"/>
  <c r="P22" i="2"/>
  <c r="N22" i="2"/>
  <c r="T22" i="2" s="1"/>
  <c r="P23" i="2"/>
  <c r="T23" i="2" s="1"/>
  <c r="N23" i="2"/>
  <c r="P24" i="2"/>
  <c r="N24" i="2"/>
  <c r="P25" i="2"/>
  <c r="T25" i="2" s="1"/>
  <c r="N25" i="2"/>
  <c r="P26" i="2"/>
  <c r="N26" i="2"/>
  <c r="T26" i="2"/>
  <c r="P27" i="2"/>
  <c r="T27" i="2" s="1"/>
  <c r="N27" i="2"/>
  <c r="P28" i="2"/>
  <c r="T28" i="2" s="1"/>
  <c r="N28" i="2"/>
  <c r="P29" i="2"/>
  <c r="N29" i="2"/>
  <c r="T29" i="2" s="1"/>
  <c r="P30" i="2"/>
  <c r="N30" i="2"/>
  <c r="P31" i="2"/>
  <c r="N31" i="2"/>
  <c r="P32" i="2"/>
  <c r="N32" i="2"/>
  <c r="P33" i="2"/>
  <c r="N33" i="2"/>
  <c r="P34" i="2"/>
  <c r="T34" i="2" s="1"/>
  <c r="N34" i="2"/>
  <c r="P35" i="2"/>
  <c r="N35" i="2"/>
  <c r="T35" i="2"/>
  <c r="P36" i="2"/>
  <c r="N36" i="2"/>
  <c r="Q11" i="2"/>
  <c r="Q12" i="2"/>
  <c r="Q14" i="2"/>
  <c r="Q15" i="2"/>
  <c r="Q16" i="2"/>
  <c r="Q17" i="2"/>
  <c r="Q18" i="2"/>
  <c r="Q19" i="2"/>
  <c r="Q20" i="2"/>
  <c r="Q21" i="2"/>
  <c r="Q25" i="2"/>
  <c r="Q26" i="2"/>
  <c r="Q27" i="2"/>
  <c r="Q28" i="2"/>
  <c r="Q29" i="2"/>
  <c r="Q30" i="2"/>
  <c r="Q31" i="2"/>
  <c r="Q32" i="2"/>
  <c r="Q33" i="2"/>
  <c r="Q34" i="2"/>
  <c r="Q35" i="2"/>
  <c r="Q36" i="2"/>
  <c r="Q13" i="2"/>
  <c r="Q22" i="2"/>
  <c r="Q23" i="2"/>
  <c r="Q24" i="2"/>
  <c r="T32" i="2" l="1"/>
  <c r="T24" i="2"/>
  <c r="T16" i="2"/>
  <c r="T30" i="2"/>
  <c r="T18" i="2"/>
  <c r="T11" i="2"/>
  <c r="T20" i="2"/>
  <c r="T17" i="2"/>
  <c r="T31" i="2"/>
  <c r="T36" i="2"/>
  <c r="T33" i="2"/>
  <c r="T15" i="2"/>
  <c r="T12" i="2"/>
  <c r="H4" i="2"/>
  <c r="I4" i="2" s="1"/>
  <c r="I47" i="2"/>
  <c r="Y47" i="2" s="1"/>
  <c r="Z47" i="2" s="1"/>
  <c r="S15" i="2"/>
  <c r="S23" i="2"/>
  <c r="S31" i="2"/>
  <c r="S47" i="2"/>
  <c r="S55" i="2"/>
  <c r="S63" i="2"/>
  <c r="S71" i="2"/>
  <c r="S16" i="2"/>
  <c r="S24" i="2"/>
  <c r="S32" i="2"/>
  <c r="S48" i="2"/>
  <c r="S56" i="2"/>
  <c r="S64" i="2"/>
  <c r="S46" i="2"/>
  <c r="S17" i="2"/>
  <c r="S25" i="2"/>
  <c r="S33" i="2"/>
  <c r="S49" i="2"/>
  <c r="S57" i="2"/>
  <c r="S65" i="2"/>
  <c r="S18" i="2"/>
  <c r="S26" i="2"/>
  <c r="S34" i="2"/>
  <c r="S50" i="2"/>
  <c r="S58" i="2"/>
  <c r="S66" i="2"/>
  <c r="S59" i="2"/>
  <c r="S19" i="2"/>
  <c r="S27" i="2"/>
  <c r="S35" i="2"/>
  <c r="S51" i="2"/>
  <c r="S67" i="2"/>
  <c r="S12" i="2"/>
  <c r="S20" i="2"/>
  <c r="S28" i="2"/>
  <c r="S36" i="2"/>
  <c r="S52" i="2"/>
  <c r="S60" i="2"/>
  <c r="S68" i="2"/>
  <c r="S14" i="2"/>
  <c r="S11" i="2"/>
  <c r="S62" i="2"/>
  <c r="S13" i="2"/>
  <c r="S21" i="2"/>
  <c r="S29" i="2"/>
  <c r="S53" i="2"/>
  <c r="S61" i="2"/>
  <c r="S69" i="2"/>
  <c r="S22" i="2"/>
  <c r="S30" i="2"/>
  <c r="S54" i="2"/>
  <c r="S70" i="2"/>
  <c r="R17" i="2"/>
  <c r="R25" i="2"/>
  <c r="R33" i="2"/>
  <c r="R13" i="2"/>
  <c r="R15" i="2"/>
  <c r="R16" i="2"/>
  <c r="R18" i="2"/>
  <c r="R26" i="2"/>
  <c r="R34" i="2"/>
  <c r="R28" i="2"/>
  <c r="R11" i="2"/>
  <c r="R19" i="2"/>
  <c r="R27" i="2"/>
  <c r="R35" i="2"/>
  <c r="R20" i="2"/>
  <c r="R12" i="2"/>
  <c r="R36" i="2"/>
  <c r="R23" i="2"/>
  <c r="R32" i="2"/>
  <c r="R21" i="2"/>
  <c r="R29" i="2"/>
  <c r="R24" i="2"/>
  <c r="R31" i="2"/>
  <c r="U31" i="2" s="1"/>
  <c r="R14" i="2"/>
  <c r="R22" i="2"/>
  <c r="R30" i="2"/>
  <c r="Y15" i="2"/>
  <c r="Y19" i="2"/>
  <c r="Y23" i="2"/>
  <c r="Y25" i="2"/>
  <c r="Y29" i="2"/>
  <c r="Y33" i="2"/>
  <c r="Y12" i="2"/>
  <c r="Y11" i="2"/>
  <c r="Y17" i="2"/>
  <c r="Z17" i="2" s="1"/>
  <c r="Y21" i="2"/>
  <c r="Y27" i="2"/>
  <c r="Y31" i="2"/>
  <c r="Z31" i="2" s="1"/>
  <c r="Y35" i="2"/>
  <c r="Y16" i="2"/>
  <c r="Y20" i="2"/>
  <c r="Y26" i="2"/>
  <c r="Z26" i="2" s="1"/>
  <c r="Y30" i="2"/>
  <c r="Y34" i="2"/>
  <c r="Z34" i="2" s="1"/>
  <c r="Y18" i="2"/>
  <c r="Y24" i="2"/>
  <c r="Y32" i="2"/>
  <c r="Y5" i="2"/>
  <c r="Y28" i="2"/>
  <c r="Z28" i="2" s="1"/>
  <c r="Y36" i="2"/>
  <c r="Y14" i="2"/>
  <c r="Y22" i="2"/>
  <c r="Y46" i="2"/>
  <c r="Y13" i="2"/>
  <c r="Z13" i="2" l="1"/>
  <c r="Z24" i="2"/>
  <c r="Z36" i="2"/>
  <c r="Z23" i="2"/>
  <c r="T39" i="2"/>
  <c r="T38" i="2"/>
  <c r="U13" i="2"/>
  <c r="T40" i="2"/>
  <c r="Z20" i="2"/>
  <c r="U36" i="2"/>
  <c r="W36" i="2" s="1"/>
  <c r="Z12" i="2"/>
  <c r="AA12" i="2" s="1"/>
  <c r="AB12" i="2" s="1"/>
  <c r="AC26" i="2"/>
  <c r="AD26" i="2" s="1"/>
  <c r="AC15" i="2"/>
  <c r="AD15" i="2" s="1"/>
  <c r="AE15" i="2" s="1"/>
  <c r="AC31" i="2"/>
  <c r="AD31" i="2" s="1"/>
  <c r="AG31" i="2" s="1"/>
  <c r="AC11" i="2"/>
  <c r="AD11" i="2" s="1"/>
  <c r="AC12" i="2"/>
  <c r="AC28" i="2"/>
  <c r="AD28" i="2" s="1"/>
  <c r="AF28" i="2" s="1"/>
  <c r="AC17" i="2"/>
  <c r="AD17" i="2" s="1"/>
  <c r="AC33" i="2"/>
  <c r="AD33" i="2" s="1"/>
  <c r="AG33" i="2" s="1"/>
  <c r="AC35" i="2"/>
  <c r="AC18" i="2"/>
  <c r="AD18" i="2" s="1"/>
  <c r="AE18" i="2" s="1"/>
  <c r="AC34" i="2"/>
  <c r="AD34" i="2" s="1"/>
  <c r="AC23" i="2"/>
  <c r="AD23" i="2" s="1"/>
  <c r="AC14" i="2"/>
  <c r="AD14" i="2" s="1"/>
  <c r="AE14" i="2" s="1"/>
  <c r="AC30" i="2"/>
  <c r="AD30" i="2" s="1"/>
  <c r="AF30" i="2" s="1"/>
  <c r="AC19" i="2"/>
  <c r="AD19" i="2" s="1"/>
  <c r="AF19" i="2" s="1"/>
  <c r="AC32" i="2"/>
  <c r="AD32" i="2" s="1"/>
  <c r="AG32" i="2" s="1"/>
  <c r="AC21" i="2"/>
  <c r="AC24" i="2"/>
  <c r="AD24" i="2" s="1"/>
  <c r="AF24" i="2" s="1"/>
  <c r="AC13" i="2"/>
  <c r="AD13" i="2" s="1"/>
  <c r="AC29" i="2"/>
  <c r="AD29" i="2" s="1"/>
  <c r="AC16" i="2"/>
  <c r="AD16" i="2" s="1"/>
  <c r="AC20" i="2"/>
  <c r="AD20" i="2" s="1"/>
  <c r="AE20" i="2" s="1"/>
  <c r="AC36" i="2"/>
  <c r="AD36" i="2" s="1"/>
  <c r="AC25" i="2"/>
  <c r="AD25" i="2" s="1"/>
  <c r="AG25" i="2" s="1"/>
  <c r="AC22" i="2"/>
  <c r="AD22" i="2" s="1"/>
  <c r="AF22" i="2" s="1"/>
  <c r="AC27" i="2"/>
  <c r="Z33" i="2"/>
  <c r="U12" i="2"/>
  <c r="AD12" i="2"/>
  <c r="AE12" i="2" s="1"/>
  <c r="Z22" i="2"/>
  <c r="Z11" i="2"/>
  <c r="AA11" i="2" s="1"/>
  <c r="Z35" i="2"/>
  <c r="Z21" i="2"/>
  <c r="Z19" i="2"/>
  <c r="Z30" i="2"/>
  <c r="Z15" i="2"/>
  <c r="AA15" i="2" s="1"/>
  <c r="AB15" i="2" s="1"/>
  <c r="AD35" i="2"/>
  <c r="AE35" i="2" s="1"/>
  <c r="Z16" i="2"/>
  <c r="Z32" i="2"/>
  <c r="Z29" i="2"/>
  <c r="Z25" i="2"/>
  <c r="Z18" i="2"/>
  <c r="Z27" i="2"/>
  <c r="U30" i="2"/>
  <c r="W30" i="2" s="1"/>
  <c r="Z14" i="2"/>
  <c r="AA14" i="2" s="1"/>
  <c r="AB14" i="2" s="1"/>
  <c r="Q47" i="2"/>
  <c r="I48" i="2"/>
  <c r="P46" i="2"/>
  <c r="R2" i="2" s="1"/>
  <c r="U17" i="2"/>
  <c r="U34" i="2"/>
  <c r="AA13" i="2"/>
  <c r="AB13" i="2" s="1"/>
  <c r="U24" i="2"/>
  <c r="V24" i="2" s="1"/>
  <c r="U18" i="2"/>
  <c r="X18" i="2" s="1"/>
  <c r="AA24" i="2"/>
  <c r="AB24" i="2" s="1"/>
  <c r="U28" i="2"/>
  <c r="W28" i="2" s="1"/>
  <c r="AF15" i="2"/>
  <c r="AD21" i="2"/>
  <c r="U35" i="2"/>
  <c r="X35" i="2" s="1"/>
  <c r="U21" i="2"/>
  <c r="X21" i="2" s="1"/>
  <c r="U19" i="2"/>
  <c r="V19" i="2" s="1"/>
  <c r="U15" i="2"/>
  <c r="V15" i="2" s="1"/>
  <c r="Z46" i="2"/>
  <c r="U26" i="2"/>
  <c r="W26" i="2" s="1"/>
  <c r="U16" i="2"/>
  <c r="U33" i="2"/>
  <c r="U29" i="2"/>
  <c r="U27" i="2"/>
  <c r="U25" i="2"/>
  <c r="U22" i="2"/>
  <c r="U11" i="2"/>
  <c r="U14" i="2"/>
  <c r="V14" i="2" s="1"/>
  <c r="U32" i="2"/>
  <c r="U20" i="2"/>
  <c r="AD27" i="2"/>
  <c r="AG27" i="2" s="1"/>
  <c r="V31" i="2"/>
  <c r="W31" i="2"/>
  <c r="U23" i="2"/>
  <c r="AG35" i="2"/>
  <c r="V13" i="2" l="1"/>
  <c r="V36" i="2"/>
  <c r="AF35" i="2"/>
  <c r="AE28" i="2"/>
  <c r="V11" i="2"/>
  <c r="AE26" i="2"/>
  <c r="V34" i="2"/>
  <c r="V12" i="2"/>
  <c r="AE11" i="2"/>
  <c r="AG15" i="2"/>
  <c r="AE21" i="2"/>
  <c r="AE13" i="2"/>
  <c r="AE34" i="2"/>
  <c r="AE31" i="2"/>
  <c r="AG17" i="2"/>
  <c r="X31" i="2"/>
  <c r="AG29" i="2"/>
  <c r="AG23" i="2"/>
  <c r="X17" i="2"/>
  <c r="AG16" i="2"/>
  <c r="AG28" i="2"/>
  <c r="V18" i="2"/>
  <c r="AF31" i="2"/>
  <c r="AF36" i="2"/>
  <c r="AE36" i="2"/>
  <c r="AG20" i="2"/>
  <c r="AF20" i="2"/>
  <c r="AG21" i="2"/>
  <c r="AF25" i="2"/>
  <c r="AG30" i="2"/>
  <c r="AE30" i="2"/>
  <c r="AE25" i="2"/>
  <c r="V30" i="2"/>
  <c r="X30" i="2"/>
  <c r="W18" i="2"/>
  <c r="V21" i="2"/>
  <c r="V17" i="2"/>
  <c r="AG26" i="2"/>
  <c r="V28" i="2"/>
  <c r="W17" i="2"/>
  <c r="V26" i="2"/>
  <c r="X26" i="2"/>
  <c r="W34" i="2"/>
  <c r="X34" i="2"/>
  <c r="V35" i="2"/>
  <c r="W35" i="2"/>
  <c r="X15" i="2"/>
  <c r="W21" i="2"/>
  <c r="AE17" i="2"/>
  <c r="AF17" i="2"/>
  <c r="W24" i="2"/>
  <c r="X28" i="2"/>
  <c r="W15" i="2"/>
  <c r="AE19" i="2"/>
  <c r="AG24" i="2"/>
  <c r="AG19" i="2"/>
  <c r="AE23" i="2"/>
  <c r="AG34" i="2"/>
  <c r="AE33" i="2"/>
  <c r="AF34" i="2"/>
  <c r="AF29" i="2"/>
  <c r="AF23" i="2"/>
  <c r="AE27" i="2"/>
  <c r="AF33" i="2"/>
  <c r="AF27" i="2"/>
  <c r="AE29" i="2"/>
  <c r="AG18" i="2"/>
  <c r="T46" i="2"/>
  <c r="AC46" i="2"/>
  <c r="R46" i="2"/>
  <c r="N47" i="2"/>
  <c r="Q48" i="2"/>
  <c r="I49" i="2"/>
  <c r="Y48" i="2"/>
  <c r="Z48" i="2" s="1"/>
  <c r="X19" i="2"/>
  <c r="X24" i="2"/>
  <c r="AE24" i="2"/>
  <c r="AE16" i="2"/>
  <c r="AF16" i="2"/>
  <c r="AF21" i="2"/>
  <c r="AF26" i="2"/>
  <c r="W19" i="2"/>
  <c r="V25" i="2"/>
  <c r="W25" i="2"/>
  <c r="X25" i="2"/>
  <c r="AE22" i="2"/>
  <c r="AE32" i="2"/>
  <c r="AF18" i="2"/>
  <c r="AG22" i="2"/>
  <c r="AF32" i="2"/>
  <c r="U38" i="2"/>
  <c r="V20" i="2"/>
  <c r="W20" i="2"/>
  <c r="X20" i="2"/>
  <c r="X27" i="2"/>
  <c r="V27" i="2"/>
  <c r="W27" i="2"/>
  <c r="V23" i="2"/>
  <c r="W23" i="2"/>
  <c r="X23" i="2"/>
  <c r="V32" i="2"/>
  <c r="W32" i="2"/>
  <c r="X32" i="2"/>
  <c r="V29" i="2"/>
  <c r="W29" i="2"/>
  <c r="X29" i="2"/>
  <c r="V33" i="2"/>
  <c r="W33" i="2"/>
  <c r="X33" i="2"/>
  <c r="W22" i="2"/>
  <c r="X22" i="2"/>
  <c r="V22" i="2"/>
  <c r="V16" i="2"/>
  <c r="W16" i="2"/>
  <c r="X16" i="2"/>
  <c r="AB11" i="2"/>
  <c r="U46" i="2" l="1"/>
  <c r="AD46" i="2"/>
  <c r="I50" i="2"/>
  <c r="Q49" i="2"/>
  <c r="Y49" i="2"/>
  <c r="Z49" i="2" s="1"/>
  <c r="P47" i="2"/>
  <c r="T47" i="2" s="1"/>
  <c r="AA18" i="2"/>
  <c r="AB18" i="2" s="1"/>
  <c r="AA27" i="2"/>
  <c r="AB27" i="2" s="1"/>
  <c r="AA23" i="2"/>
  <c r="AB23" i="2" s="1"/>
  <c r="AA30" i="2"/>
  <c r="AB30" i="2" s="1"/>
  <c r="AA29" i="2"/>
  <c r="AB29" i="2" s="1"/>
  <c r="AA28" i="2"/>
  <c r="AB28" i="2" s="1"/>
  <c r="AA48" i="2"/>
  <c r="AB48" i="2" s="1"/>
  <c r="AA32" i="2"/>
  <c r="AB32" i="2" s="1"/>
  <c r="AA25" i="2"/>
  <c r="AB25" i="2" s="1"/>
  <c r="AA26" i="2"/>
  <c r="AB26" i="2" s="1"/>
  <c r="AA16" i="2"/>
  <c r="AA33" i="2"/>
  <c r="AB33" i="2" s="1"/>
  <c r="AA20" i="2"/>
  <c r="AB20" i="2" s="1"/>
  <c r="AA47" i="2"/>
  <c r="AB47" i="2" s="1"/>
  <c r="AA31" i="2"/>
  <c r="AB31" i="2" s="1"/>
  <c r="AA22" i="2"/>
  <c r="AB22" i="2" s="1"/>
  <c r="AA21" i="2"/>
  <c r="AB21" i="2" s="1"/>
  <c r="AA17" i="2"/>
  <c r="AB17" i="2" s="1"/>
  <c r="AA19" i="2"/>
  <c r="AB19" i="2" s="1"/>
  <c r="AA35" i="2"/>
  <c r="AB35" i="2" s="1"/>
  <c r="AA34" i="2"/>
  <c r="AB34" i="2" s="1"/>
  <c r="AA36" i="2"/>
  <c r="AB36" i="2" s="1"/>
  <c r="AA49" i="2" l="1"/>
  <c r="AB49" i="2" s="1"/>
  <c r="N48" i="2"/>
  <c r="AC47" i="2"/>
  <c r="AD47" i="2" s="1"/>
  <c r="R47" i="2"/>
  <c r="U47" i="2" s="1"/>
  <c r="I51" i="2"/>
  <c r="Q50" i="2"/>
  <c r="Y50" i="2"/>
  <c r="Z50" i="2" s="1"/>
  <c r="AA50" i="2" s="1"/>
  <c r="AB50" i="2" s="1"/>
  <c r="AA38" i="2"/>
  <c r="AB16" i="2"/>
  <c r="AB38" i="2" s="1"/>
  <c r="AA46" i="2"/>
  <c r="Z38" i="2"/>
  <c r="I52" i="2" l="1"/>
  <c r="Q51" i="2"/>
  <c r="Y51" i="2"/>
  <c r="Z51" i="2" s="1"/>
  <c r="AA51" i="2" s="1"/>
  <c r="AB51" i="2" s="1"/>
  <c r="P48" i="2"/>
  <c r="T48" i="2" s="1"/>
  <c r="E37" i="1"/>
  <c r="AB46" i="2"/>
  <c r="W38" i="2"/>
  <c r="E16" i="1"/>
  <c r="E25" i="1" s="1"/>
  <c r="V38" i="2"/>
  <c r="X38" i="2"/>
  <c r="E28" i="1" l="1"/>
  <c r="E35" i="1" s="1"/>
  <c r="N49" i="2"/>
  <c r="R48" i="2"/>
  <c r="U48" i="2" s="1"/>
  <c r="AC48" i="2"/>
  <c r="AD48" i="2" s="1"/>
  <c r="Q52" i="2"/>
  <c r="I53" i="2"/>
  <c r="Y52" i="2"/>
  <c r="Z52" i="2" s="1"/>
  <c r="AF38" i="2"/>
  <c r="AG38" i="2"/>
  <c r="AE38" i="2"/>
  <c r="F16" i="1"/>
  <c r="F25" i="1" s="1"/>
  <c r="E32" i="1" l="1"/>
  <c r="E33" i="1"/>
  <c r="E34" i="1"/>
  <c r="E30" i="1"/>
  <c r="E31" i="1"/>
  <c r="AA52" i="2"/>
  <c r="P49" i="2"/>
  <c r="T49" i="2" s="1"/>
  <c r="I54" i="2"/>
  <c r="Q53" i="2"/>
  <c r="Y53" i="2"/>
  <c r="Z53" i="2" s="1"/>
  <c r="AA53" i="2" s="1"/>
  <c r="AB53" i="2" s="1"/>
  <c r="E36" i="1"/>
  <c r="E29" i="1" l="1"/>
  <c r="E38" i="1" s="1"/>
  <c r="N50" i="2"/>
  <c r="AC49" i="2"/>
  <c r="AD49" i="2" s="1"/>
  <c r="AB52" i="2"/>
  <c r="R49" i="2"/>
  <c r="U49" i="2" s="1"/>
  <c r="I55" i="2"/>
  <c r="Q54" i="2"/>
  <c r="Y54" i="2"/>
  <c r="Z54" i="2" s="1"/>
  <c r="AA54" i="2" s="1"/>
  <c r="AB54" i="2" s="1"/>
  <c r="Q55" i="2" l="1"/>
  <c r="I56" i="2"/>
  <c r="Y55" i="2"/>
  <c r="Z55" i="2" s="1"/>
  <c r="AA55" i="2" s="1"/>
  <c r="AB55" i="2" s="1"/>
  <c r="P50" i="2"/>
  <c r="T50" i="2" s="1"/>
  <c r="R50" i="2" l="1"/>
  <c r="U50" i="2" s="1"/>
  <c r="N51" i="2"/>
  <c r="AC50" i="2"/>
  <c r="AD50" i="2" s="1"/>
  <c r="Q56" i="2"/>
  <c r="I57" i="2"/>
  <c r="Y56" i="2"/>
  <c r="Z56" i="2" s="1"/>
  <c r="AA56" i="2" s="1"/>
  <c r="AB56" i="2" s="1"/>
  <c r="P51" i="2" l="1"/>
  <c r="T51" i="2" s="1"/>
  <c r="I58" i="2"/>
  <c r="Q57" i="2"/>
  <c r="Y57" i="2"/>
  <c r="Z57" i="2" s="1"/>
  <c r="AA57" i="2" s="1"/>
  <c r="AB57" i="2" s="1"/>
  <c r="I59" i="2" l="1"/>
  <c r="Q58" i="2"/>
  <c r="Y58" i="2"/>
  <c r="Z58" i="2" s="1"/>
  <c r="AA58" i="2" s="1"/>
  <c r="AB58" i="2" s="1"/>
  <c r="N52" i="2"/>
  <c r="AC51" i="2"/>
  <c r="AD51" i="2" s="1"/>
  <c r="R51" i="2"/>
  <c r="U51" i="2" s="1"/>
  <c r="P52" i="2" l="1"/>
  <c r="T52" i="2" s="1"/>
  <c r="I60" i="2"/>
  <c r="Q59" i="2"/>
  <c r="Y59" i="2"/>
  <c r="Z59" i="2" s="1"/>
  <c r="AA59" i="2" s="1"/>
  <c r="AB59" i="2" s="1"/>
  <c r="R52" i="2" l="1"/>
  <c r="U52" i="2" s="1"/>
  <c r="AC52" i="2"/>
  <c r="AD52" i="2" s="1"/>
  <c r="N53" i="2"/>
  <c r="Q60" i="2"/>
  <c r="I61" i="2"/>
  <c r="Y60" i="2"/>
  <c r="Z60" i="2" s="1"/>
  <c r="AA60" i="2" s="1"/>
  <c r="AB60" i="2" s="1"/>
  <c r="P53" i="2" l="1"/>
  <c r="T53" i="2" s="1"/>
  <c r="Q61" i="2"/>
  <c r="I62" i="2"/>
  <c r="Y61" i="2"/>
  <c r="Z61" i="2" s="1"/>
  <c r="AA61" i="2" s="1"/>
  <c r="AB61" i="2" s="1"/>
  <c r="R53" i="2" l="1"/>
  <c r="U53" i="2" s="1"/>
  <c r="N54" i="2"/>
  <c r="I63" i="2"/>
  <c r="Q62" i="2"/>
  <c r="Y62" i="2"/>
  <c r="Z62" i="2" s="1"/>
  <c r="AA62" i="2" s="1"/>
  <c r="AB62" i="2" s="1"/>
  <c r="AC53" i="2"/>
  <c r="AD53" i="2" s="1"/>
  <c r="I64" i="2" l="1"/>
  <c r="Q63" i="2"/>
  <c r="Y63" i="2"/>
  <c r="Z63" i="2" s="1"/>
  <c r="AA63" i="2" s="1"/>
  <c r="AB63" i="2" s="1"/>
  <c r="P54" i="2"/>
  <c r="T54" i="2" s="1"/>
  <c r="AC54" i="2" l="1"/>
  <c r="AD54" i="2" s="1"/>
  <c r="I65" i="2"/>
  <c r="Q64" i="2"/>
  <c r="Y64" i="2"/>
  <c r="Z64" i="2" s="1"/>
  <c r="AA64" i="2" s="1"/>
  <c r="AB64" i="2" s="1"/>
  <c r="R54" i="2"/>
  <c r="U54" i="2" s="1"/>
  <c r="N55" i="2"/>
  <c r="P55" i="2" l="1"/>
  <c r="T55" i="2" s="1"/>
  <c r="I66" i="2"/>
  <c r="Q65" i="2"/>
  <c r="Y65" i="2"/>
  <c r="Z65" i="2" s="1"/>
  <c r="AA65" i="2" s="1"/>
  <c r="AB65" i="2" s="1"/>
  <c r="AC55" i="2" l="1"/>
  <c r="AD55" i="2" s="1"/>
  <c r="N56" i="2"/>
  <c r="R55" i="2"/>
  <c r="U55" i="2" s="1"/>
  <c r="Q66" i="2"/>
  <c r="I67" i="2"/>
  <c r="Y66" i="2"/>
  <c r="Z66" i="2" s="1"/>
  <c r="AA66" i="2" s="1"/>
  <c r="AB66" i="2" s="1"/>
  <c r="I68" i="2" l="1"/>
  <c r="Q67" i="2"/>
  <c r="Y67" i="2"/>
  <c r="Z67" i="2" s="1"/>
  <c r="AA67" i="2" s="1"/>
  <c r="AB67" i="2" s="1"/>
  <c r="P56" i="2"/>
  <c r="T56" i="2" s="1"/>
  <c r="AC56" i="2" l="1"/>
  <c r="AD56" i="2" s="1"/>
  <c r="N57" i="2"/>
  <c r="R56" i="2"/>
  <c r="U56" i="2" s="1"/>
  <c r="Q68" i="2"/>
  <c r="I69" i="2"/>
  <c r="Y68" i="2"/>
  <c r="Z68" i="2" s="1"/>
  <c r="AA68" i="2" s="1"/>
  <c r="AB68" i="2" s="1"/>
  <c r="Q69" i="2" l="1"/>
  <c r="I70" i="2"/>
  <c r="Y69" i="2"/>
  <c r="Z69" i="2" s="1"/>
  <c r="AA69" i="2" s="1"/>
  <c r="AB69" i="2" s="1"/>
  <c r="P57" i="2"/>
  <c r="T57" i="2" s="1"/>
  <c r="R57" i="2" l="1"/>
  <c r="U57" i="2" s="1"/>
  <c r="N58" i="2"/>
  <c r="AC57" i="2"/>
  <c r="AD57" i="2" s="1"/>
  <c r="I71" i="2"/>
  <c r="Q70" i="2"/>
  <c r="Y70" i="2"/>
  <c r="Z70" i="2" s="1"/>
  <c r="AA70" i="2" s="1"/>
  <c r="AB70" i="2" s="1"/>
  <c r="Q71" i="2" l="1"/>
  <c r="Y71" i="2"/>
  <c r="Z71" i="2" s="1"/>
  <c r="P58" i="2"/>
  <c r="T58" i="2" s="1"/>
  <c r="N59" i="2" l="1"/>
  <c r="R58" i="2"/>
  <c r="U58" i="2" s="1"/>
  <c r="AC58" i="2"/>
  <c r="AD58" i="2" s="1"/>
  <c r="AA71" i="2"/>
  <c r="Z72" i="2"/>
  <c r="P59" i="2" l="1"/>
  <c r="T59" i="2" s="1"/>
  <c r="AB71" i="2"/>
  <c r="AB72" i="2" s="1"/>
  <c r="AA72" i="2"/>
  <c r="F37" i="1" s="1"/>
  <c r="R59" i="2" l="1"/>
  <c r="U59" i="2" s="1"/>
  <c r="N60" i="2"/>
  <c r="AC59" i="2"/>
  <c r="AD59" i="2" s="1"/>
  <c r="P60" i="2" l="1"/>
  <c r="T60" i="2" s="1"/>
  <c r="R60" i="2" l="1"/>
  <c r="U60" i="2" s="1"/>
  <c r="AC60" i="2"/>
  <c r="AD60" i="2" s="1"/>
  <c r="N61" i="2"/>
  <c r="P61" i="2" l="1"/>
  <c r="T61" i="2" s="1"/>
  <c r="N62" i="2" l="1"/>
  <c r="AC61" i="2"/>
  <c r="AD61" i="2" s="1"/>
  <c r="R61" i="2"/>
  <c r="U61" i="2" s="1"/>
  <c r="P62" i="2" l="1"/>
  <c r="T62" i="2" s="1"/>
  <c r="N63" i="2" l="1"/>
  <c r="AC62" i="2"/>
  <c r="AD62" i="2" s="1"/>
  <c r="R62" i="2"/>
  <c r="U62" i="2" s="1"/>
  <c r="P63" i="2" l="1"/>
  <c r="T63" i="2" s="1"/>
  <c r="R63" i="2" l="1"/>
  <c r="U63" i="2" s="1"/>
  <c r="N64" i="2"/>
  <c r="AC63" i="2"/>
  <c r="AD63" i="2" s="1"/>
  <c r="P64" i="2" l="1"/>
  <c r="T64" i="2" s="1"/>
  <c r="AC64" i="2" l="1"/>
  <c r="AD64" i="2" s="1"/>
  <c r="N65" i="2"/>
  <c r="R64" i="2"/>
  <c r="U64" i="2" s="1"/>
  <c r="P65" i="2" l="1"/>
  <c r="T65" i="2" s="1"/>
  <c r="R65" i="2" l="1"/>
  <c r="U65" i="2" s="1"/>
  <c r="AC65" i="2"/>
  <c r="AD65" i="2" s="1"/>
  <c r="N66" i="2"/>
  <c r="P66" i="2" l="1"/>
  <c r="T66" i="2" s="1"/>
  <c r="N67" i="2" l="1"/>
  <c r="R66" i="2"/>
  <c r="U66" i="2" s="1"/>
  <c r="AC66" i="2"/>
  <c r="AD66" i="2" s="1"/>
  <c r="P67" i="2" l="1"/>
  <c r="T67" i="2" s="1"/>
  <c r="AC67" i="2" l="1"/>
  <c r="AD67" i="2" s="1"/>
  <c r="R67" i="2"/>
  <c r="U67" i="2" s="1"/>
  <c r="N68" i="2"/>
  <c r="P68" i="2" l="1"/>
  <c r="T68" i="2" s="1"/>
  <c r="AC68" i="2" l="1"/>
  <c r="AD68" i="2" s="1"/>
  <c r="R68" i="2"/>
  <c r="U68" i="2" s="1"/>
  <c r="N69" i="2"/>
  <c r="P69" i="2" l="1"/>
  <c r="T69" i="2" s="1"/>
  <c r="N70" i="2" l="1"/>
  <c r="R69" i="2"/>
  <c r="U69" i="2" s="1"/>
  <c r="AC69" i="2"/>
  <c r="AD69" i="2" s="1"/>
  <c r="P70" i="2" l="1"/>
  <c r="T70" i="2" s="1"/>
  <c r="P71" i="2" l="1"/>
  <c r="N71" i="2"/>
  <c r="R70" i="2"/>
  <c r="U70" i="2" s="1"/>
  <c r="AC70" i="2"/>
  <c r="AD70" i="2" s="1"/>
  <c r="R71" i="2" l="1"/>
  <c r="AC71" i="2"/>
  <c r="T71" i="2"/>
  <c r="AD71" i="2" l="1"/>
  <c r="U71" i="2"/>
  <c r="U72" i="2" s="1"/>
  <c r="T72" i="2"/>
  <c r="T74" i="2"/>
  <c r="T73" i="2"/>
  <c r="W60" i="2" l="1"/>
  <c r="AF57" i="2"/>
  <c r="W55" i="2"/>
  <c r="W67" i="2"/>
  <c r="W63" i="2"/>
  <c r="W50" i="2"/>
  <c r="W56" i="2"/>
  <c r="W65" i="2"/>
  <c r="W71" i="2"/>
  <c r="AF51" i="2"/>
  <c r="AF66" i="2"/>
  <c r="AF54" i="2"/>
  <c r="W64" i="2"/>
  <c r="AF55" i="2"/>
  <c r="AF68" i="2"/>
  <c r="W69" i="2"/>
  <c r="W57" i="2"/>
  <c r="AF63" i="2"/>
  <c r="W53" i="2"/>
  <c r="W54" i="2"/>
  <c r="AF61" i="2"/>
  <c r="AF56" i="2"/>
  <c r="W51" i="2"/>
  <c r="W58" i="2"/>
  <c r="AF59" i="2"/>
  <c r="W61" i="2"/>
  <c r="AF52" i="2"/>
  <c r="AF53" i="2"/>
  <c r="AF67" i="2"/>
  <c r="AF71" i="2"/>
  <c r="AF64" i="2"/>
  <c r="W68" i="2"/>
  <c r="W62" i="2"/>
  <c r="AF69" i="2"/>
  <c r="AF60" i="2"/>
  <c r="W59" i="2"/>
  <c r="AF65" i="2"/>
  <c r="W52" i="2"/>
  <c r="W66" i="2"/>
  <c r="AF70" i="2"/>
  <c r="AF50" i="2"/>
  <c r="AF58" i="2"/>
  <c r="AF62" i="2"/>
  <c r="W70" i="2"/>
  <c r="X65" i="2"/>
  <c r="X57" i="2"/>
  <c r="X68" i="2"/>
  <c r="AG69" i="2"/>
  <c r="X53" i="2"/>
  <c r="AG61" i="2"/>
  <c r="AG68" i="2"/>
  <c r="AG50" i="2"/>
  <c r="AG63" i="2"/>
  <c r="AG55" i="2"/>
  <c r="X54" i="2"/>
  <c r="X63" i="2"/>
  <c r="X51" i="2"/>
  <c r="X60" i="2"/>
  <c r="AG66" i="2"/>
  <c r="X55" i="2"/>
  <c r="X50" i="2"/>
  <c r="AG56" i="2"/>
  <c r="AG54" i="2"/>
  <c r="X61" i="2"/>
  <c r="AG51" i="2"/>
  <c r="AG52" i="2"/>
  <c r="AG59" i="2"/>
  <c r="X58" i="2"/>
  <c r="AG60" i="2"/>
  <c r="AG65" i="2"/>
  <c r="AG58" i="2"/>
  <c r="AG53" i="2"/>
  <c r="AG67" i="2"/>
  <c r="AG57" i="2"/>
  <c r="X59" i="2"/>
  <c r="AG64" i="2"/>
  <c r="X56" i="2"/>
  <c r="X62" i="2"/>
  <c r="X52" i="2"/>
  <c r="X69" i="2"/>
  <c r="AG62" i="2"/>
  <c r="X67" i="2"/>
  <c r="X64" i="2"/>
  <c r="X66" i="2"/>
  <c r="AE53" i="2"/>
  <c r="AE68" i="2"/>
  <c r="V56" i="2"/>
  <c r="AE64" i="2"/>
  <c r="V46" i="2"/>
  <c r="V53" i="2"/>
  <c r="AE52" i="2"/>
  <c r="AE55" i="2"/>
  <c r="V60" i="2"/>
  <c r="AE57" i="2"/>
  <c r="V57" i="2"/>
  <c r="V55" i="2"/>
  <c r="V50" i="2"/>
  <c r="AE59" i="2"/>
  <c r="AE67" i="2"/>
  <c r="AE56" i="2"/>
  <c r="AE61" i="2"/>
  <c r="V63" i="2"/>
  <c r="AE50" i="2"/>
  <c r="V71" i="2"/>
  <c r="AE63" i="2"/>
  <c r="V70" i="2"/>
  <c r="V61" i="2"/>
  <c r="V58" i="2"/>
  <c r="V54" i="2"/>
  <c r="AE66" i="2"/>
  <c r="AE54" i="2"/>
  <c r="V66" i="2"/>
  <c r="V59" i="2"/>
  <c r="AE71" i="2"/>
  <c r="V65" i="2"/>
  <c r="V68" i="2"/>
  <c r="V62" i="2"/>
  <c r="AE69" i="2"/>
  <c r="V51" i="2"/>
  <c r="AE51" i="2"/>
  <c r="AE62" i="2"/>
  <c r="AE60" i="2"/>
  <c r="V64" i="2"/>
  <c r="AE58" i="2"/>
  <c r="AE46" i="2"/>
  <c r="AE47" i="2"/>
  <c r="V47" i="2"/>
  <c r="V48" i="2"/>
  <c r="AE48" i="2"/>
  <c r="V49" i="2"/>
  <c r="AE49" i="2"/>
  <c r="V52" i="2"/>
  <c r="AE65" i="2"/>
  <c r="V67" i="2"/>
  <c r="V69" i="2"/>
  <c r="AE70" i="2"/>
  <c r="W72" i="2" l="1"/>
  <c r="AE72" i="2"/>
  <c r="X72" i="2"/>
  <c r="AG72" i="2"/>
  <c r="V72" i="2"/>
  <c r="AF72" i="2"/>
  <c r="F36" i="1" l="1"/>
  <c r="F28" i="1"/>
  <c r="F35" i="1" s="1"/>
  <c r="F31" i="1" l="1"/>
  <c r="F32" i="1"/>
  <c r="F30" i="1"/>
  <c r="F33" i="1"/>
  <c r="F34" i="1"/>
  <c r="F29" i="1" l="1"/>
  <c r="F38" i="1" s="1"/>
</calcChain>
</file>

<file path=xl/comments1.xml><?xml version="1.0" encoding="utf-8"?>
<comments xmlns="http://schemas.openxmlformats.org/spreadsheetml/2006/main">
  <authors>
    <author>Miller, David</author>
  </authors>
  <commentList>
    <comment ref="Y10" authorId="0" shapeId="0">
      <text>
        <r>
          <rPr>
            <b/>
            <sz val="9"/>
            <color indexed="81"/>
            <rFont val="Tahoma"/>
            <family val="2"/>
          </rPr>
          <t>Miller, David:</t>
        </r>
        <r>
          <rPr>
            <sz val="9"/>
            <color indexed="81"/>
            <rFont val="Tahoma"/>
            <family val="2"/>
          </rPr>
          <t xml:space="preserve">
Based on Pay Date
</t>
        </r>
      </text>
    </comment>
    <comment ref="Y45" authorId="0" shapeId="0">
      <text>
        <r>
          <rPr>
            <b/>
            <sz val="9"/>
            <color indexed="81"/>
            <rFont val="Tahoma"/>
            <family val="2"/>
          </rPr>
          <t>Miller, David:</t>
        </r>
        <r>
          <rPr>
            <sz val="9"/>
            <color indexed="81"/>
            <rFont val="Tahoma"/>
            <family val="2"/>
          </rPr>
          <t xml:space="preserve">
Based on Pay Date
</t>
        </r>
      </text>
    </comment>
  </commentList>
</comments>
</file>

<file path=xl/sharedStrings.xml><?xml version="1.0" encoding="utf-8"?>
<sst xmlns="http://schemas.openxmlformats.org/spreadsheetml/2006/main" count="380" uniqueCount="112">
  <si>
    <t>Select Health Insurance</t>
  </si>
  <si>
    <t>USS</t>
  </si>
  <si>
    <t>Unclassified</t>
  </si>
  <si>
    <t>Select Position Type</t>
  </si>
  <si>
    <t>State Leave Payment Assessment</t>
  </si>
  <si>
    <t>Unemployment Compensation</t>
  </si>
  <si>
    <t>Workers Compensation Assessment</t>
  </si>
  <si>
    <t>Fringe Benefit Rates</t>
  </si>
  <si>
    <t>Death and Disability Insurance</t>
  </si>
  <si>
    <t>Regents Retirement</t>
  </si>
  <si>
    <t>FICA</t>
  </si>
  <si>
    <t>Single/Dependent Full-Time</t>
  </si>
  <si>
    <t>Single/Dependent Part-Time</t>
  </si>
  <si>
    <t>Single Full-Time</t>
  </si>
  <si>
    <t>Single Part-Time</t>
  </si>
  <si>
    <t>Healthy Kids Full-Time</t>
  </si>
  <si>
    <t>Healthy Kids Part-Time</t>
  </si>
  <si>
    <t>Select Current/New Employee</t>
  </si>
  <si>
    <t>Paychecks Issued July 1st - December 31st</t>
  </si>
  <si>
    <t>Paychecks Issued January 1st - June 30th</t>
  </si>
  <si>
    <t>Enter Calculation Parameters</t>
  </si>
  <si>
    <t>Benefits</t>
  </si>
  <si>
    <t>Retirement</t>
  </si>
  <si>
    <t>Personnel Cost Calculations</t>
  </si>
  <si>
    <t>Total Personnel Cost</t>
  </si>
  <si>
    <t>--------</t>
  </si>
  <si>
    <t>Retirement Rates</t>
  </si>
  <si>
    <t>Dropdowns</t>
  </si>
  <si>
    <t>Police</t>
  </si>
  <si>
    <t>Employee</t>
  </si>
  <si>
    <t>Current</t>
  </si>
  <si>
    <t>New</t>
  </si>
  <si>
    <t>Position</t>
  </si>
  <si>
    <t>Insurance</t>
  </si>
  <si>
    <t>FICA - Medicare</t>
  </si>
  <si>
    <t>FICA - OASDI</t>
  </si>
  <si>
    <t>Opt Out</t>
  </si>
  <si>
    <t>KPERS Retirement</t>
  </si>
  <si>
    <t>Campus Police Retirement</t>
  </si>
  <si>
    <t>OASDI Maximum Salary Range Average</t>
  </si>
  <si>
    <t>Sunday</t>
  </si>
  <si>
    <t>Saturday</t>
  </si>
  <si>
    <t>-</t>
  </si>
  <si>
    <t>BW</t>
  </si>
  <si>
    <t>Dates</t>
  </si>
  <si>
    <t>Excel Date Conversion</t>
  </si>
  <si>
    <t>Start Date:</t>
  </si>
  <si>
    <t>Payroll</t>
  </si>
  <si>
    <t>Pay Date</t>
  </si>
  <si>
    <t>Start</t>
  </si>
  <si>
    <t xml:space="preserve">Date </t>
  </si>
  <si>
    <t>Spread</t>
  </si>
  <si>
    <t xml:space="preserve">Days Payroll </t>
  </si>
  <si>
    <t>Days in Payroll</t>
  </si>
  <si>
    <t>Cycle</t>
  </si>
  <si>
    <t>Compensation Calculations</t>
  </si>
  <si>
    <t>Health</t>
  </si>
  <si>
    <t>Health Start:</t>
  </si>
  <si>
    <t>Ret. Start:</t>
  </si>
  <si>
    <t>Fringe Benefit Rates (excluding Health Benefits) For Specific Position Types</t>
  </si>
  <si>
    <t>GA/Student</t>
  </si>
  <si>
    <t>Paid</t>
  </si>
  <si>
    <t>Select Appointment Type</t>
  </si>
  <si>
    <t>Appointment</t>
  </si>
  <si>
    <t>9 Month</t>
  </si>
  <si>
    <t>10 Month</t>
  </si>
  <si>
    <t>Appoint.</t>
  </si>
  <si>
    <t>Costs Spread</t>
  </si>
  <si>
    <t>12 Mo. Salary</t>
  </si>
  <si>
    <t>10 Mo. Salary</t>
  </si>
  <si>
    <t>9 Mo. Salary</t>
  </si>
  <si>
    <t>12 Month</t>
  </si>
  <si>
    <t xml:space="preserve">12 Mo. Retire </t>
  </si>
  <si>
    <t xml:space="preserve">10 Mo. Retire </t>
  </si>
  <si>
    <t xml:space="preserve">9 Mo. Retire </t>
  </si>
  <si>
    <t>Position/Employee</t>
  </si>
  <si>
    <t>12 Mo. Health</t>
  </si>
  <si>
    <t>10 Mo. Health</t>
  </si>
  <si>
    <t>9 Mo. Health</t>
  </si>
  <si>
    <t>Manual Data Setup</t>
  </si>
  <si>
    <t>** 12/10/9 Current calculations are the same</t>
  </si>
  <si>
    <t>Summer Session</t>
  </si>
  <si>
    <t>End Date:</t>
  </si>
  <si>
    <t>End</t>
  </si>
  <si>
    <r>
      <t xml:space="preserve">End Date </t>
    </r>
    <r>
      <rPr>
        <sz val="8"/>
        <color theme="1"/>
        <rFont val="Calibri"/>
        <family val="2"/>
        <scheme val="minor"/>
      </rPr>
      <t>(leave blank if not known)</t>
    </r>
  </si>
  <si>
    <t>&lt;&lt; for 27th pay period when needed</t>
  </si>
  <si>
    <t>- Permanent USS and Unclassified Positions without Retirement</t>
  </si>
  <si>
    <r>
      <t xml:space="preserve">- Permanent USS and Unclassified Positions </t>
    </r>
    <r>
      <rPr>
        <i/>
        <sz val="11"/>
        <rFont val="Calibri"/>
        <family val="2"/>
        <scheme val="minor"/>
      </rPr>
      <t>with Retirement</t>
    </r>
  </si>
  <si>
    <t>- Campus Police with Retirement</t>
  </si>
  <si>
    <t xml:space="preserve">- USS Salaries-Temporary (Account 1010) </t>
  </si>
  <si>
    <t>- USS Salaries-Overtime (Account 1020) - includes KPERS Retirement</t>
  </si>
  <si>
    <t>- Unclassified Salaries-Temporary (Account 1110)</t>
  </si>
  <si>
    <t>- Unclassified Salaries-Summer School (Account 1170)</t>
  </si>
  <si>
    <t>- Unclassified Salaries-Lecturer (Account 1180)</t>
  </si>
  <si>
    <t>- Faculty and Unclassified Professionals eligible for Retirement - Additional Compensation (Account 1115),</t>
  </si>
  <si>
    <t xml:space="preserve">  Summer Session (Account 1170), and Lecturer (Account 1180)</t>
  </si>
  <si>
    <t>Enter Start Date</t>
  </si>
  <si>
    <t>Employee start dates are always at the beginning of the payroll period</t>
  </si>
  <si>
    <t>Start Dates</t>
  </si>
  <si>
    <t xml:space="preserve">- Graduate Assistants and Students (Accounts 1200, 1210, 1120, </t>
  </si>
  <si>
    <t xml:space="preserve">   1130,1140, and 1150) </t>
  </si>
  <si>
    <t>Enter Annual Salary/Stipends</t>
  </si>
  <si>
    <t>Salary/Stipends</t>
  </si>
  <si>
    <t>Health Insurance Benefits (Monthly)</t>
  </si>
  <si>
    <t>Health Insurance Benefits</t>
  </si>
  <si>
    <r>
      <t xml:space="preserve">Full Fiscal Year &amp; All Eligible Benefits </t>
    </r>
    <r>
      <rPr>
        <i/>
        <u/>
        <sz val="8"/>
        <color theme="1"/>
        <rFont val="Calibri"/>
        <family val="2"/>
        <scheme val="minor"/>
      </rPr>
      <t>(26 Pay periods)</t>
    </r>
  </si>
  <si>
    <t>Pro-Rated Based on Start Date/End Date w/ All Eligible Benefits</t>
  </si>
  <si>
    <t>FY 2022</t>
  </si>
  <si>
    <t>FY 2023</t>
  </si>
  <si>
    <t>* For months with 3 pay periods, it is normally the last period in which Health benefits aren't captured</t>
  </si>
  <si>
    <t>Est. Insurance Start Date</t>
  </si>
  <si>
    <t>Est. Retirement Eligible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</si>
</sst>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m/d/yy;@"/>
    <numFmt numFmtId="167" formatCode="mm/d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D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167" fontId="9" fillId="0" borderId="0" xfId="4" applyNumberFormat="1" applyFont="1" applyFill="1" applyBorder="1" applyAlignment="1" applyProtection="1">
      <alignment horizontal="center"/>
    </xf>
    <xf numFmtId="0" fontId="9" fillId="0" borderId="0" xfId="4" applyFont="1" applyFill="1" applyBorder="1" applyAlignment="1" applyProtection="1">
      <alignment horizontal="right"/>
    </xf>
    <xf numFmtId="49" fontId="9" fillId="0" borderId="0" xfId="4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166" fontId="0" fillId="0" borderId="0" xfId="0" applyNumberFormat="1" applyFont="1" applyFill="1" applyBorder="1"/>
    <xf numFmtId="0" fontId="0" fillId="3" borderId="0" xfId="0" applyFont="1" applyFill="1"/>
    <xf numFmtId="167" fontId="9" fillId="3" borderId="0" xfId="4" applyNumberFormat="1" applyFont="1" applyFill="1" applyBorder="1" applyAlignment="1" applyProtection="1">
      <alignment horizontal="center"/>
    </xf>
    <xf numFmtId="49" fontId="9" fillId="3" borderId="0" xfId="4" applyNumberFormat="1" applyFont="1" applyFill="1" applyBorder="1" applyAlignment="1" applyProtection="1">
      <alignment horizontal="center"/>
    </xf>
    <xf numFmtId="0" fontId="0" fillId="3" borderId="0" xfId="0" applyFont="1" applyFill="1" applyAlignment="1">
      <alignment horizontal="center"/>
    </xf>
    <xf numFmtId="0" fontId="7" fillId="0" borderId="1" xfId="4" applyFont="1" applyFill="1" applyBorder="1" applyAlignment="1" applyProtection="1">
      <alignment horizontal="center"/>
    </xf>
    <xf numFmtId="0" fontId="7" fillId="0" borderId="1" xfId="4" applyFont="1" applyFill="1" applyBorder="1" applyProtection="1"/>
    <xf numFmtId="0" fontId="0" fillId="3" borderId="1" xfId="0" applyFont="1" applyFill="1" applyBorder="1"/>
    <xf numFmtId="0" fontId="0" fillId="3" borderId="0" xfId="0" applyFont="1" applyFill="1" applyBorder="1"/>
    <xf numFmtId="44" fontId="0" fillId="3" borderId="0" xfId="2" applyFont="1" applyFill="1" applyBorder="1"/>
    <xf numFmtId="43" fontId="0" fillId="3" borderId="0" xfId="1" applyFont="1" applyFill="1"/>
    <xf numFmtId="43" fontId="0" fillId="3" borderId="1" xfId="1" applyFont="1" applyFill="1" applyBorder="1"/>
    <xf numFmtId="0" fontId="0" fillId="0" borderId="0" xfId="0" applyFont="1" applyFill="1"/>
    <xf numFmtId="0" fontId="7" fillId="0" borderId="3" xfId="4" applyFont="1" applyFill="1" applyBorder="1" applyAlignment="1" applyProtection="1">
      <alignment horizontal="center"/>
    </xf>
    <xf numFmtId="166" fontId="0" fillId="3" borderId="0" xfId="0" applyNumberFormat="1" applyFont="1" applyFill="1" applyBorder="1"/>
    <xf numFmtId="0" fontId="0" fillId="0" borderId="0" xfId="0" applyFont="1" applyFill="1" applyAlignment="1">
      <alignment horizontal="center"/>
    </xf>
    <xf numFmtId="0" fontId="0" fillId="3" borderId="1" xfId="0" applyFont="1" applyFill="1" applyBorder="1" applyAlignment="1">
      <alignment horizontal="center"/>
    </xf>
    <xf numFmtId="44" fontId="0" fillId="3" borderId="0" xfId="2" applyNumberFormat="1" applyFont="1" applyFill="1" applyBorder="1"/>
    <xf numFmtId="0" fontId="3" fillId="0" borderId="2" xfId="0" applyFont="1" applyFill="1" applyBorder="1" applyAlignment="1">
      <alignment horizontal="center"/>
    </xf>
    <xf numFmtId="167" fontId="9" fillId="3" borderId="1" xfId="4" applyNumberFormat="1" applyFont="1" applyFill="1" applyBorder="1" applyAlignment="1" applyProtection="1">
      <alignment horizontal="center"/>
    </xf>
    <xf numFmtId="44" fontId="0" fillId="0" borderId="0" xfId="2" applyNumberFormat="1" applyFont="1" applyFill="1" applyBorder="1"/>
    <xf numFmtId="0" fontId="9" fillId="4" borderId="0" xfId="0" applyFont="1" applyFill="1" applyBorder="1" applyProtection="1"/>
    <xf numFmtId="164" fontId="9" fillId="4" borderId="0" xfId="0" applyNumberFormat="1" applyFont="1" applyFill="1" applyBorder="1" applyProtection="1"/>
    <xf numFmtId="0" fontId="9" fillId="4" borderId="0" xfId="0" applyFont="1" applyFill="1" applyBorder="1" applyAlignment="1" applyProtection="1">
      <alignment horizontal="left"/>
    </xf>
    <xf numFmtId="0" fontId="0" fillId="4" borderId="0" xfId="0" applyFill="1" applyProtection="1"/>
    <xf numFmtId="0" fontId="0" fillId="0" borderId="0" xfId="0" applyProtection="1"/>
    <xf numFmtId="0" fontId="0" fillId="5" borderId="2" xfId="0" applyFill="1" applyBorder="1" applyProtection="1"/>
    <xf numFmtId="0" fontId="0" fillId="5" borderId="0" xfId="0" applyFill="1" applyBorder="1" applyProtection="1"/>
    <xf numFmtId="0" fontId="3" fillId="4" borderId="2" xfId="0" applyFont="1" applyFill="1" applyBorder="1" applyProtection="1"/>
    <xf numFmtId="0" fontId="3" fillId="4" borderId="0" xfId="0" applyFont="1" applyFill="1" applyBorder="1" applyProtection="1"/>
    <xf numFmtId="0" fontId="3" fillId="4" borderId="8" xfId="0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0" fillId="4" borderId="0" xfId="0" applyFill="1" applyBorder="1" applyProtection="1"/>
    <xf numFmtId="0" fontId="0" fillId="5" borderId="3" xfId="0" applyFill="1" applyBorder="1" applyProtection="1"/>
    <xf numFmtId="0" fontId="4" fillId="5" borderId="1" xfId="0" applyFont="1" applyFill="1" applyBorder="1" applyProtection="1"/>
    <xf numFmtId="164" fontId="0" fillId="4" borderId="0" xfId="3" applyNumberFormat="1" applyFont="1" applyFill="1" applyBorder="1" applyProtection="1"/>
    <xf numFmtId="164" fontId="0" fillId="4" borderId="2" xfId="3" applyNumberFormat="1" applyFont="1" applyFill="1" applyBorder="1" applyProtection="1"/>
    <xf numFmtId="164" fontId="0" fillId="4" borderId="4" xfId="3" applyNumberFormat="1" applyFont="1" applyFill="1" applyBorder="1" applyProtection="1"/>
    <xf numFmtId="0" fontId="4" fillId="4" borderId="0" xfId="0" applyFont="1" applyFill="1" applyBorder="1" applyProtection="1"/>
    <xf numFmtId="10" fontId="0" fillId="4" borderId="0" xfId="3" applyNumberFormat="1" applyFont="1" applyFill="1" applyBorder="1" applyProtection="1"/>
    <xf numFmtId="10" fontId="0" fillId="4" borderId="2" xfId="3" applyNumberFormat="1" applyFont="1" applyFill="1" applyBorder="1" applyProtection="1"/>
    <xf numFmtId="10" fontId="0" fillId="4" borderId="4" xfId="3" applyNumberFormat="1" applyFont="1" applyFill="1" applyBorder="1" applyProtection="1"/>
    <xf numFmtId="0" fontId="0" fillId="4" borderId="4" xfId="0" applyFill="1" applyBorder="1" applyProtection="1"/>
    <xf numFmtId="10" fontId="0" fillId="4" borderId="0" xfId="3" quotePrefix="1" applyNumberFormat="1" applyFont="1" applyFill="1" applyBorder="1" applyAlignment="1" applyProtection="1">
      <alignment horizontal="center"/>
    </xf>
    <xf numFmtId="10" fontId="0" fillId="4" borderId="4" xfId="3" quotePrefix="1" applyNumberFormat="1" applyFont="1" applyFill="1" applyBorder="1" applyAlignment="1" applyProtection="1">
      <alignment horizontal="center"/>
    </xf>
    <xf numFmtId="10" fontId="0" fillId="4" borderId="2" xfId="3" quotePrefix="1" applyNumberFormat="1" applyFont="1" applyFill="1" applyBorder="1" applyAlignment="1" applyProtection="1">
      <alignment horizontal="center"/>
    </xf>
    <xf numFmtId="164" fontId="0" fillId="4" borderId="0" xfId="0" applyNumberFormat="1" applyFill="1" applyBorder="1" applyAlignment="1" applyProtection="1"/>
    <xf numFmtId="164" fontId="0" fillId="4" borderId="2" xfId="0" applyNumberFormat="1" applyFill="1" applyBorder="1" applyAlignment="1" applyProtection="1"/>
    <xf numFmtId="164" fontId="0" fillId="4" borderId="4" xfId="0" applyNumberFormat="1" applyFill="1" applyBorder="1" applyAlignment="1" applyProtection="1"/>
    <xf numFmtId="0" fontId="0" fillId="4" borderId="0" xfId="0" applyFont="1" applyFill="1" applyProtection="1"/>
    <xf numFmtId="164" fontId="0" fillId="4" borderId="0" xfId="0" applyNumberFormat="1" applyFont="1" applyFill="1" applyBorder="1" applyAlignment="1" applyProtection="1"/>
    <xf numFmtId="164" fontId="0" fillId="4" borderId="2" xfId="0" applyNumberFormat="1" applyFont="1" applyFill="1" applyBorder="1" applyAlignment="1" applyProtection="1"/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0" xfId="0" applyFont="1" applyFill="1" applyBorder="1" applyProtection="1"/>
    <xf numFmtId="0" fontId="0" fillId="4" borderId="2" xfId="0" applyFont="1" applyFill="1" applyBorder="1" applyProtection="1"/>
    <xf numFmtId="0" fontId="0" fillId="4" borderId="4" xfId="0" applyFont="1" applyFill="1" applyBorder="1" applyProtection="1"/>
    <xf numFmtId="0" fontId="0" fillId="4" borderId="1" xfId="0" applyFont="1" applyFill="1" applyBorder="1" applyProtection="1"/>
    <xf numFmtId="0" fontId="0" fillId="4" borderId="8" xfId="0" applyFont="1" applyFill="1" applyBorder="1" applyProtection="1"/>
    <xf numFmtId="0" fontId="7" fillId="0" borderId="8" xfId="4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5" borderId="8" xfId="0" applyFill="1" applyBorder="1" applyProtection="1"/>
    <xf numFmtId="0" fontId="5" fillId="5" borderId="0" xfId="0" applyFont="1" applyFill="1" applyBorder="1" applyAlignment="1" applyProtection="1">
      <alignment vertic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2" xfId="0" applyFont="1" applyFill="1" applyBorder="1"/>
    <xf numFmtId="0" fontId="3" fillId="0" borderId="4" xfId="0" applyFont="1" applyBorder="1" applyAlignment="1">
      <alignment horizontal="center"/>
    </xf>
    <xf numFmtId="43" fontId="0" fillId="3" borderId="8" xfId="1" applyFont="1" applyFill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43" fontId="0" fillId="3" borderId="2" xfId="1" applyFont="1" applyFill="1" applyBorder="1"/>
    <xf numFmtId="43" fontId="0" fillId="3" borderId="0" xfId="1" applyFont="1" applyFill="1" applyBorder="1"/>
    <xf numFmtId="43" fontId="0" fillId="3" borderId="4" xfId="1" applyFont="1" applyFill="1" applyBorder="1"/>
    <xf numFmtId="43" fontId="0" fillId="3" borderId="3" xfId="1" applyFont="1" applyFill="1" applyBorder="1"/>
    <xf numFmtId="44" fontId="0" fillId="3" borderId="2" xfId="2" applyFont="1" applyFill="1" applyBorder="1"/>
    <xf numFmtId="44" fontId="0" fillId="3" borderId="4" xfId="2" applyFont="1" applyFill="1" applyBorder="1"/>
    <xf numFmtId="2" fontId="0" fillId="3" borderId="0" xfId="0" applyNumberFormat="1" applyFont="1" applyFill="1" applyBorder="1"/>
    <xf numFmtId="2" fontId="0" fillId="3" borderId="1" xfId="0" applyNumberFormat="1" applyFont="1" applyFill="1" applyBorder="1"/>
    <xf numFmtId="2" fontId="0" fillId="3" borderId="5" xfId="0" applyNumberFormat="1" applyFont="1" applyFill="1" applyBorder="1"/>
    <xf numFmtId="0" fontId="7" fillId="0" borderId="2" xfId="0" applyFont="1" applyFill="1" applyBorder="1" applyAlignment="1"/>
    <xf numFmtId="0" fontId="0" fillId="3" borderId="3" xfId="0" applyFont="1" applyFill="1" applyBorder="1"/>
    <xf numFmtId="2" fontId="0" fillId="3" borderId="8" xfId="0" applyNumberFormat="1" applyFont="1" applyFill="1" applyBorder="1"/>
    <xf numFmtId="0" fontId="14" fillId="0" borderId="0" xfId="0" applyFont="1"/>
    <xf numFmtId="0" fontId="4" fillId="5" borderId="0" xfId="0" applyFont="1" applyFill="1" applyBorder="1" applyProtection="1"/>
    <xf numFmtId="0" fontId="0" fillId="5" borderId="4" xfId="0" applyFill="1" applyBorder="1" applyProtection="1"/>
    <xf numFmtId="0" fontId="0" fillId="4" borderId="0" xfId="0" applyFill="1" applyAlignment="1" applyProtection="1">
      <alignment horizontal="center"/>
    </xf>
    <xf numFmtId="0" fontId="0" fillId="3" borderId="8" xfId="0" applyFont="1" applyFill="1" applyBorder="1"/>
    <xf numFmtId="167" fontId="9" fillId="3" borderId="0" xfId="4" applyNumberFormat="1" applyFont="1" applyFill="1" applyBorder="1" applyAlignment="1">
      <alignment horizontal="center"/>
    </xf>
    <xf numFmtId="0" fontId="9" fillId="3" borderId="0" xfId="4" applyFont="1" applyFill="1" applyBorder="1" applyAlignment="1" applyProtection="1">
      <alignment horizontal="right"/>
    </xf>
    <xf numFmtId="0" fontId="9" fillId="4" borderId="0" xfId="0" quotePrefix="1" applyFont="1" applyFill="1" applyBorder="1" applyProtection="1"/>
    <xf numFmtId="0" fontId="0" fillId="4" borderId="0" xfId="0" quotePrefix="1" applyFill="1" applyBorder="1" applyProtection="1"/>
    <xf numFmtId="0" fontId="9" fillId="4" borderId="0" xfId="0" quotePrefix="1" applyFont="1" applyFill="1" applyBorder="1" applyAlignment="1" applyProtection="1">
      <alignment horizontal="left"/>
    </xf>
    <xf numFmtId="0" fontId="0" fillId="6" borderId="2" xfId="0" applyFill="1" applyBorder="1" applyProtection="1"/>
    <xf numFmtId="0" fontId="0" fillId="6" borderId="0" xfId="0" applyFill="1" applyBorder="1" applyProtection="1"/>
    <xf numFmtId="0" fontId="3" fillId="6" borderId="8" xfId="0" applyFont="1" applyFill="1" applyBorder="1" applyAlignment="1" applyProtection="1">
      <alignment horizontal="center"/>
    </xf>
    <xf numFmtId="0" fontId="3" fillId="6" borderId="10" xfId="0" applyFont="1" applyFill="1" applyBorder="1" applyAlignment="1" applyProtection="1">
      <alignment horizontal="center"/>
    </xf>
    <xf numFmtId="0" fontId="6" fillId="6" borderId="2" xfId="0" applyFont="1" applyFill="1" applyBorder="1" applyProtection="1"/>
    <xf numFmtId="0" fontId="0" fillId="6" borderId="9" xfId="0" applyFill="1" applyBorder="1" applyProtection="1"/>
    <xf numFmtId="0" fontId="3" fillId="6" borderId="0" xfId="0" applyFont="1" applyFill="1" applyBorder="1" applyProtection="1"/>
    <xf numFmtId="5" fontId="3" fillId="6" borderId="0" xfId="2" applyNumberFormat="1" applyFont="1" applyFill="1" applyBorder="1" applyProtection="1"/>
    <xf numFmtId="5" fontId="3" fillId="6" borderId="9" xfId="0" applyNumberFormat="1" applyFont="1" applyFill="1" applyBorder="1" applyProtection="1"/>
    <xf numFmtId="165" fontId="3" fillId="6" borderId="0" xfId="0" applyNumberFormat="1" applyFont="1" applyFill="1" applyBorder="1" applyProtection="1"/>
    <xf numFmtId="165" fontId="3" fillId="6" borderId="9" xfId="0" applyNumberFormat="1" applyFont="1" applyFill="1" applyBorder="1" applyProtection="1"/>
    <xf numFmtId="0" fontId="4" fillId="6" borderId="0" xfId="0" applyFont="1" applyFill="1" applyBorder="1" applyProtection="1"/>
    <xf numFmtId="165" fontId="4" fillId="6" borderId="0" xfId="1" applyNumberFormat="1" applyFont="1" applyFill="1" applyBorder="1" applyProtection="1"/>
    <xf numFmtId="165" fontId="4" fillId="6" borderId="9" xfId="1" applyNumberFormat="1" applyFont="1" applyFill="1" applyBorder="1" applyProtection="1"/>
    <xf numFmtId="165" fontId="4" fillId="6" borderId="1" xfId="1" applyNumberFormat="1" applyFont="1" applyFill="1" applyBorder="1" applyProtection="1"/>
    <xf numFmtId="165" fontId="4" fillId="6" borderId="10" xfId="1" applyNumberFormat="1" applyFont="1" applyFill="1" applyBorder="1" applyProtection="1"/>
    <xf numFmtId="5" fontId="3" fillId="6" borderId="0" xfId="0" applyNumberFormat="1" applyFont="1" applyFill="1" applyBorder="1" applyProtection="1"/>
    <xf numFmtId="0" fontId="3" fillId="6" borderId="2" xfId="0" applyFont="1" applyFill="1" applyBorder="1" applyProtection="1"/>
    <xf numFmtId="0" fontId="0" fillId="6" borderId="3" xfId="0" applyFill="1" applyBorder="1" applyProtection="1"/>
    <xf numFmtId="0" fontId="3" fillId="6" borderId="1" xfId="0" applyFont="1" applyFill="1" applyBorder="1" applyProtection="1"/>
    <xf numFmtId="0" fontId="0" fillId="6" borderId="1" xfId="0" applyFill="1" applyBorder="1" applyProtection="1"/>
    <xf numFmtId="5" fontId="3" fillId="6" borderId="1" xfId="0" applyNumberFormat="1" applyFont="1" applyFill="1" applyBorder="1" applyProtection="1"/>
    <xf numFmtId="5" fontId="3" fillId="6" borderId="8" xfId="0" applyNumberFormat="1" applyFont="1" applyFill="1" applyBorder="1" applyProtection="1"/>
    <xf numFmtId="0" fontId="0" fillId="0" borderId="0" xfId="0" applyBorder="1" applyProtection="1"/>
    <xf numFmtId="167" fontId="9" fillId="4" borderId="0" xfId="4" applyNumberFormat="1" applyFont="1" applyFill="1" applyBorder="1" applyAlignment="1" applyProtection="1">
      <alignment horizontal="center"/>
    </xf>
    <xf numFmtId="1" fontId="9" fillId="4" borderId="0" xfId="4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0" fontId="0" fillId="4" borderId="8" xfId="0" applyFill="1" applyBorder="1" applyProtection="1"/>
    <xf numFmtId="0" fontId="9" fillId="4" borderId="1" xfId="0" applyFont="1" applyFill="1" applyBorder="1" applyAlignment="1" applyProtection="1">
      <alignment horizontal="left"/>
    </xf>
    <xf numFmtId="164" fontId="0" fillId="4" borderId="0" xfId="0" applyNumberFormat="1" applyFont="1" applyFill="1" applyBorder="1" applyAlignment="1" applyProtection="1">
      <alignment horizontal="center"/>
    </xf>
    <xf numFmtId="164" fontId="0" fillId="4" borderId="2" xfId="0" applyNumberFormat="1" applyFont="1" applyFill="1" applyBorder="1" applyAlignment="1" applyProtection="1">
      <alignment horizontal="center"/>
    </xf>
    <xf numFmtId="164" fontId="0" fillId="4" borderId="4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167" fontId="9" fillId="0" borderId="0" xfId="0" applyNumberFormat="1" applyFont="1" applyFill="1" applyBorder="1" applyAlignment="1">
      <alignment horizontal="center"/>
    </xf>
    <xf numFmtId="0" fontId="9" fillId="4" borderId="0" xfId="0" quotePrefix="1" applyFont="1" applyFill="1" applyBorder="1" applyAlignment="1" applyProtection="1">
      <alignment horizontal="left" wrapText="1"/>
    </xf>
    <xf numFmtId="0" fontId="9" fillId="4" borderId="0" xfId="0" applyFont="1" applyFill="1" applyBorder="1" applyAlignment="1" applyProtection="1">
      <alignment horizontal="left" wrapText="1"/>
    </xf>
    <xf numFmtId="164" fontId="0" fillId="4" borderId="0" xfId="0" applyNumberFormat="1" applyFont="1" applyFill="1" applyBorder="1" applyAlignment="1" applyProtection="1">
      <alignment horizontal="center"/>
    </xf>
    <xf numFmtId="164" fontId="0" fillId="4" borderId="2" xfId="0" applyNumberFormat="1" applyFont="1" applyFill="1" applyBorder="1" applyAlignment="1" applyProtection="1">
      <alignment horizontal="center"/>
    </xf>
    <xf numFmtId="164" fontId="0" fillId="4" borderId="4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2" xfId="0" applyFont="1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horizontal="center"/>
    </xf>
    <xf numFmtId="164" fontId="0" fillId="4" borderId="0" xfId="0" applyNumberForma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164" fontId="0" fillId="4" borderId="2" xfId="0" applyNumberForma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7" fontId="0" fillId="4" borderId="0" xfId="2" applyNumberFormat="1" applyFont="1" applyFill="1" applyBorder="1" applyAlignment="1" applyProtection="1">
      <alignment horizontal="center"/>
    </xf>
    <xf numFmtId="7" fontId="0" fillId="4" borderId="2" xfId="2" applyNumberFormat="1" applyFont="1" applyFill="1" applyBorder="1" applyAlignment="1" applyProtection="1">
      <alignment horizontal="center"/>
    </xf>
    <xf numFmtId="7" fontId="0" fillId="4" borderId="4" xfId="2" applyNumberFormat="1" applyFont="1" applyFill="1" applyBorder="1" applyAlignment="1" applyProtection="1">
      <alignment horizontal="center"/>
    </xf>
    <xf numFmtId="164" fontId="0" fillId="4" borderId="4" xfId="0" applyNumberFormat="1" applyFill="1" applyBorder="1" applyAlignment="1" applyProtection="1">
      <alignment horizontal="center"/>
    </xf>
    <xf numFmtId="5" fontId="4" fillId="4" borderId="0" xfId="1" applyNumberFormat="1" applyFont="1" applyFill="1" applyBorder="1" applyAlignment="1" applyProtection="1">
      <alignment horizontal="center"/>
    </xf>
    <xf numFmtId="164" fontId="0" fillId="4" borderId="0" xfId="3" applyNumberFormat="1" applyFont="1" applyFill="1" applyBorder="1" applyAlignment="1" applyProtection="1">
      <alignment horizontal="center"/>
    </xf>
    <xf numFmtId="164" fontId="0" fillId="4" borderId="2" xfId="3" applyNumberFormat="1" applyFont="1" applyFill="1" applyBorder="1" applyAlignment="1" applyProtection="1">
      <alignment horizontal="center"/>
    </xf>
    <xf numFmtId="164" fontId="0" fillId="4" borderId="4" xfId="3" applyNumberFormat="1" applyFont="1" applyFill="1" applyBorder="1" applyAlignment="1" applyProtection="1">
      <alignment horizontal="center"/>
    </xf>
    <xf numFmtId="5" fontId="4" fillId="4" borderId="2" xfId="1" applyNumberFormat="1" applyFont="1" applyFill="1" applyBorder="1" applyAlignment="1" applyProtection="1">
      <alignment horizontal="center"/>
    </xf>
    <xf numFmtId="5" fontId="4" fillId="4" borderId="4" xfId="1" applyNumberFormat="1" applyFont="1" applyFill="1" applyBorder="1" applyAlignment="1" applyProtection="1">
      <alignment horizontal="center"/>
    </xf>
    <xf numFmtId="5" fontId="0" fillId="4" borderId="0" xfId="1" applyNumberFormat="1" applyFont="1" applyFill="1" applyBorder="1" applyAlignment="1" applyProtection="1">
      <alignment horizontal="center"/>
    </xf>
    <xf numFmtId="5" fontId="0" fillId="4" borderId="2" xfId="1" applyNumberFormat="1" applyFont="1" applyFill="1" applyBorder="1" applyAlignment="1" applyProtection="1">
      <alignment horizontal="center"/>
    </xf>
    <xf numFmtId="5" fontId="0" fillId="4" borderId="4" xfId="1" applyNumberFormat="1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6" xfId="0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5" fontId="0" fillId="5" borderId="11" xfId="0" applyNumberFormat="1" applyFill="1" applyBorder="1" applyAlignment="1" applyProtection="1">
      <alignment horizontal="center"/>
      <protection locked="0"/>
    </xf>
    <xf numFmtId="5" fontId="0" fillId="5" borderId="12" xfId="0" applyNumberFormat="1" applyFill="1" applyBorder="1" applyAlignment="1" applyProtection="1">
      <alignment horizontal="center"/>
      <protection locked="0"/>
    </xf>
    <xf numFmtId="166" fontId="0" fillId="5" borderId="11" xfId="0" applyNumberFormat="1" applyFill="1" applyBorder="1" applyAlignment="1" applyProtection="1">
      <alignment horizontal="center"/>
      <protection locked="0"/>
    </xf>
    <xf numFmtId="166" fontId="0" fillId="5" borderId="12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18" fillId="4" borderId="2" xfId="0" applyFont="1" applyFill="1" applyBorder="1" applyAlignment="1" applyProtection="1">
      <alignment horizontal="center" wrapText="1"/>
    </xf>
    <xf numFmtId="0" fontId="18" fillId="4" borderId="0" xfId="0" applyFont="1" applyFill="1" applyBorder="1" applyAlignment="1" applyProtection="1">
      <alignment horizontal="center" wrapText="1"/>
    </xf>
    <xf numFmtId="0" fontId="18" fillId="4" borderId="4" xfId="0" applyFont="1" applyFill="1" applyBorder="1" applyAlignment="1" applyProtection="1">
      <alignment horizontal="center" wrapText="1"/>
    </xf>
    <xf numFmtId="0" fontId="13" fillId="4" borderId="7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166" fontId="19" fillId="5" borderId="0" xfId="0" applyNumberFormat="1" applyFont="1" applyFill="1" applyBorder="1" applyAlignment="1" applyProtection="1">
      <alignment horizontal="center" vertical="center"/>
    </xf>
    <xf numFmtId="166" fontId="19" fillId="5" borderId="4" xfId="0" applyNumberFormat="1" applyFont="1" applyFill="1" applyBorder="1" applyAlignment="1" applyProtection="1">
      <alignment horizontal="center" vertical="center"/>
    </xf>
    <xf numFmtId="0" fontId="19" fillId="5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G139"/>
  <sheetViews>
    <sheetView tabSelected="1" zoomScaleNormal="100" workbookViewId="0">
      <selection activeCell="Y6" sqref="Y6"/>
    </sheetView>
  </sheetViews>
  <sheetFormatPr defaultRowHeight="15" x14ac:dyDescent="0.25"/>
  <cols>
    <col min="1" max="1" width="0.42578125" style="36" customWidth="1"/>
    <col min="2" max="2" width="2.140625" style="36" customWidth="1"/>
    <col min="3" max="3" width="1.7109375" style="36" customWidth="1"/>
    <col min="4" max="4" width="30" style="36" customWidth="1"/>
    <col min="5" max="5" width="12.85546875" style="36" customWidth="1"/>
    <col min="6" max="6" width="13.42578125" style="36" customWidth="1"/>
    <col min="7" max="7" width="1.7109375" style="36" customWidth="1"/>
    <col min="8" max="8" width="3.42578125" style="36" customWidth="1"/>
    <col min="9" max="9" width="2.85546875" style="36" customWidth="1"/>
    <col min="10" max="10" width="2.7109375" style="36" customWidth="1"/>
    <col min="11" max="11" width="46.140625" style="36" customWidth="1"/>
    <col min="12" max="12" width="12.42578125" style="36" customWidth="1"/>
    <col min="13" max="13" width="11.42578125" style="36" customWidth="1"/>
    <col min="14" max="14" width="10.5703125" style="36" customWidth="1"/>
    <col min="15" max="15" width="11.42578125" style="36" customWidth="1"/>
    <col min="16" max="16" width="1.7109375" style="36" customWidth="1"/>
    <col min="17" max="17" width="2.7109375" style="130" customWidth="1"/>
    <col min="18" max="18" width="5.28515625" style="36" customWidth="1"/>
    <col min="19" max="19" width="10.7109375" style="36" customWidth="1"/>
    <col min="20" max="20" width="5.28515625" style="36" customWidth="1"/>
    <col min="21" max="21" width="10.7109375" style="36" customWidth="1"/>
    <col min="22" max="22" width="2.7109375" style="36" customWidth="1"/>
    <col min="23" max="16384" width="9.140625" style="36"/>
  </cols>
  <sheetData>
    <row r="1" spans="1:85" ht="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43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</row>
    <row r="2" spans="1:85" ht="18.75" x14ac:dyDescent="0.3">
      <c r="A2" s="35"/>
      <c r="B2" s="178" t="s">
        <v>20</v>
      </c>
      <c r="C2" s="179"/>
      <c r="D2" s="179"/>
      <c r="E2" s="179"/>
      <c r="F2" s="180"/>
      <c r="G2" s="35"/>
      <c r="H2" s="175" t="s">
        <v>7</v>
      </c>
      <c r="I2" s="176"/>
      <c r="J2" s="176"/>
      <c r="K2" s="176"/>
      <c r="L2" s="176"/>
      <c r="M2" s="176"/>
      <c r="N2" s="176"/>
      <c r="O2" s="177"/>
      <c r="P2" s="35"/>
      <c r="Q2" s="193" t="s">
        <v>98</v>
      </c>
      <c r="R2" s="194"/>
      <c r="S2" s="194"/>
      <c r="T2" s="194"/>
      <c r="U2" s="194"/>
      <c r="V2" s="19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x14ac:dyDescent="0.25">
      <c r="A3" s="35"/>
      <c r="B3" s="37" t="s">
        <v>101</v>
      </c>
      <c r="C3" s="38"/>
      <c r="D3" s="38"/>
      <c r="E3" s="184">
        <v>90000</v>
      </c>
      <c r="F3" s="185"/>
      <c r="G3" s="35"/>
      <c r="H3" s="39"/>
      <c r="I3" s="40"/>
      <c r="J3" s="40"/>
      <c r="K3" s="40"/>
      <c r="L3" s="181" t="str">
        <f>E13</f>
        <v>FY 2022</v>
      </c>
      <c r="M3" s="181"/>
      <c r="N3" s="182" t="str">
        <f>F13</f>
        <v>FY 2023</v>
      </c>
      <c r="O3" s="183"/>
      <c r="P3" s="35"/>
      <c r="Q3" s="42"/>
      <c r="R3" s="43"/>
      <c r="S3" s="43"/>
      <c r="T3" s="43"/>
      <c r="U3" s="43"/>
      <c r="V3" s="53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</row>
    <row r="4" spans="1:85" ht="15" customHeight="1" x14ac:dyDescent="0.25">
      <c r="A4" s="35"/>
      <c r="B4" s="37" t="s">
        <v>96</v>
      </c>
      <c r="C4" s="38"/>
      <c r="D4" s="38"/>
      <c r="E4" s="186">
        <v>44388</v>
      </c>
      <c r="F4" s="187"/>
      <c r="G4" s="35"/>
      <c r="H4" s="39"/>
      <c r="I4" s="40"/>
      <c r="J4" s="40"/>
      <c r="K4" s="40"/>
      <c r="L4" s="142" t="s">
        <v>1</v>
      </c>
      <c r="M4" s="142" t="s">
        <v>2</v>
      </c>
      <c r="N4" s="143" t="s">
        <v>1</v>
      </c>
      <c r="O4" s="41" t="s">
        <v>2</v>
      </c>
      <c r="P4" s="35"/>
      <c r="Q4" s="190" t="s">
        <v>97</v>
      </c>
      <c r="R4" s="191"/>
      <c r="S4" s="191"/>
      <c r="T4" s="191"/>
      <c r="U4" s="191"/>
      <c r="V4" s="192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</row>
    <row r="5" spans="1:85" x14ac:dyDescent="0.25">
      <c r="A5" s="35"/>
      <c r="B5" s="37" t="s">
        <v>62</v>
      </c>
      <c r="C5" s="98"/>
      <c r="D5" s="99"/>
      <c r="E5" s="173">
        <v>12</v>
      </c>
      <c r="F5" s="174"/>
      <c r="G5" s="35"/>
      <c r="H5" s="39"/>
      <c r="I5" s="40"/>
      <c r="J5" s="40"/>
      <c r="K5" s="40"/>
      <c r="L5" s="139"/>
      <c r="M5" s="139"/>
      <c r="N5" s="140"/>
      <c r="O5" s="141"/>
      <c r="P5" s="100"/>
      <c r="Q5" s="190"/>
      <c r="R5" s="191"/>
      <c r="S5" s="191"/>
      <c r="T5" s="191"/>
      <c r="U5" s="191"/>
      <c r="V5" s="192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</row>
    <row r="6" spans="1:85" x14ac:dyDescent="0.25">
      <c r="A6" s="35"/>
      <c r="B6" s="37" t="s">
        <v>3</v>
      </c>
      <c r="C6" s="38"/>
      <c r="D6" s="38"/>
      <c r="E6" s="173" t="s">
        <v>2</v>
      </c>
      <c r="F6" s="174"/>
      <c r="G6" s="35"/>
      <c r="H6" s="39" t="s">
        <v>4</v>
      </c>
      <c r="I6" s="43"/>
      <c r="J6" s="43"/>
      <c r="K6" s="43"/>
      <c r="L6" s="162">
        <v>7.0000000000000001E-3</v>
      </c>
      <c r="M6" s="162"/>
      <c r="N6" s="163">
        <v>7.1999999999999998E-3</v>
      </c>
      <c r="O6" s="164"/>
      <c r="P6" s="100"/>
      <c r="Q6" s="39"/>
      <c r="R6" s="43"/>
      <c r="S6" s="43"/>
      <c r="T6" s="43"/>
      <c r="U6" s="43"/>
      <c r="V6" s="53"/>
      <c r="W6" s="43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</row>
    <row r="7" spans="1:85" x14ac:dyDescent="0.25">
      <c r="A7" s="35"/>
      <c r="B7" s="37" t="s">
        <v>17</v>
      </c>
      <c r="C7" s="38"/>
      <c r="D7" s="38"/>
      <c r="E7" s="173" t="s">
        <v>31</v>
      </c>
      <c r="F7" s="174"/>
      <c r="G7" s="35"/>
      <c r="H7" s="39" t="s">
        <v>5</v>
      </c>
      <c r="I7" s="43"/>
      <c r="J7" s="43"/>
      <c r="K7" s="43"/>
      <c r="L7" s="162">
        <v>4.5999999999999999E-3</v>
      </c>
      <c r="M7" s="162"/>
      <c r="N7" s="163">
        <v>1E-3</v>
      </c>
      <c r="O7" s="164"/>
      <c r="P7" s="100"/>
      <c r="Q7" s="39"/>
      <c r="R7" s="188" t="str">
        <f>E13</f>
        <v>FY 2022</v>
      </c>
      <c r="S7" s="188"/>
      <c r="T7" s="189" t="str">
        <f>F13</f>
        <v>FY 2023</v>
      </c>
      <c r="U7" s="188"/>
      <c r="V7" s="53"/>
      <c r="W7" s="43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</row>
    <row r="8" spans="1:85" x14ac:dyDescent="0.25">
      <c r="A8" s="35"/>
      <c r="B8" s="37" t="s">
        <v>0</v>
      </c>
      <c r="C8" s="38"/>
      <c r="D8" s="38"/>
      <c r="E8" s="173" t="s">
        <v>11</v>
      </c>
      <c r="F8" s="174"/>
      <c r="G8" s="35"/>
      <c r="H8" s="39" t="s">
        <v>6</v>
      </c>
      <c r="I8" s="43"/>
      <c r="J8" s="43"/>
      <c r="K8" s="43"/>
      <c r="L8" s="162">
        <v>2.8999999999999998E-3</v>
      </c>
      <c r="M8" s="162"/>
      <c r="N8" s="163">
        <v>2.8700000000000002E-3</v>
      </c>
      <c r="O8" s="164"/>
      <c r="P8" s="100"/>
      <c r="Q8" s="39"/>
      <c r="R8" s="132">
        <v>1</v>
      </c>
      <c r="S8" s="131">
        <v>44360</v>
      </c>
      <c r="T8" s="133">
        <v>1</v>
      </c>
      <c r="U8" s="131">
        <f>S33+14</f>
        <v>44724</v>
      </c>
      <c r="V8" s="53"/>
      <c r="W8" s="43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</row>
    <row r="9" spans="1:85" x14ac:dyDescent="0.25">
      <c r="A9" s="35"/>
      <c r="B9" s="37"/>
      <c r="C9" s="77" t="s">
        <v>110</v>
      </c>
      <c r="D9" s="77"/>
      <c r="E9" s="196">
        <f>IF(E6="GA/Student","N/A",IF(E5="Summer Session","N/A",IF($E$7="New",$E$4+28,E4)))</f>
        <v>44416</v>
      </c>
      <c r="F9" s="198"/>
      <c r="G9" s="35"/>
      <c r="H9" s="39" t="s">
        <v>8</v>
      </c>
      <c r="I9" s="43"/>
      <c r="J9" s="43"/>
      <c r="K9" s="43"/>
      <c r="L9" s="162">
        <v>0.01</v>
      </c>
      <c r="M9" s="162"/>
      <c r="N9" s="163">
        <v>0.01</v>
      </c>
      <c r="O9" s="164"/>
      <c r="P9" s="35"/>
      <c r="Q9" s="39"/>
      <c r="R9" s="132">
        <v>2</v>
      </c>
      <c r="S9" s="131">
        <f>S8+14</f>
        <v>44374</v>
      </c>
      <c r="T9" s="133">
        <v>2</v>
      </c>
      <c r="U9" s="131">
        <f>U8+14</f>
        <v>44738</v>
      </c>
      <c r="V9" s="53"/>
      <c r="W9" s="43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</row>
    <row r="10" spans="1:85" x14ac:dyDescent="0.25">
      <c r="A10" s="35"/>
      <c r="B10" s="37"/>
      <c r="C10" s="77" t="s">
        <v>111</v>
      </c>
      <c r="D10" s="77"/>
      <c r="E10" s="196">
        <f>IF(E6="GA/Student","N/A",IF(E5="Summer Session","N/A",IF(E6="USS",E4,IF(E6="Police",E4,IF(Data!H5="UnclassifiedCurrent",E4,IF(Data!H5="UnclassifiedNew",E4+365))))))</f>
        <v>44753</v>
      </c>
      <c r="F10" s="197"/>
      <c r="G10" s="35"/>
      <c r="H10" s="39" t="s">
        <v>10</v>
      </c>
      <c r="I10" s="43"/>
      <c r="J10" s="43"/>
      <c r="K10" s="43"/>
      <c r="L10" s="46"/>
      <c r="M10" s="46"/>
      <c r="N10" s="47"/>
      <c r="O10" s="48"/>
      <c r="P10" s="35"/>
      <c r="Q10" s="42"/>
      <c r="R10" s="132">
        <v>3</v>
      </c>
      <c r="S10" s="131">
        <f>S9+14</f>
        <v>44388</v>
      </c>
      <c r="T10" s="133">
        <v>3</v>
      </c>
      <c r="U10" s="131">
        <f t="shared" ref="U10:U33" si="0">U9+14</f>
        <v>44752</v>
      </c>
      <c r="V10" s="53"/>
      <c r="W10" s="43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</row>
    <row r="11" spans="1:85" x14ac:dyDescent="0.25">
      <c r="A11" s="35"/>
      <c r="B11" s="44" t="s">
        <v>84</v>
      </c>
      <c r="C11" s="45"/>
      <c r="D11" s="76"/>
      <c r="E11" s="186"/>
      <c r="F11" s="187"/>
      <c r="G11" s="35"/>
      <c r="H11" s="42"/>
      <c r="I11" s="43" t="s">
        <v>34</v>
      </c>
      <c r="J11" s="43"/>
      <c r="K11" s="43"/>
      <c r="L11" s="162">
        <v>1.4500000000000001E-2</v>
      </c>
      <c r="M11" s="162"/>
      <c r="N11" s="163">
        <v>1.4500000000000001E-2</v>
      </c>
      <c r="O11" s="164"/>
      <c r="P11" s="35"/>
      <c r="Q11" s="42"/>
      <c r="R11" s="132">
        <v>4</v>
      </c>
      <c r="S11" s="131">
        <f t="shared" ref="S11:S33" si="1">S10+14</f>
        <v>44402</v>
      </c>
      <c r="T11" s="133">
        <v>4</v>
      </c>
      <c r="U11" s="131">
        <f t="shared" si="0"/>
        <v>44766</v>
      </c>
      <c r="V11" s="53"/>
      <c r="W11" s="43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</row>
    <row r="12" spans="1:85" ht="18.75" x14ac:dyDescent="0.25">
      <c r="A12" s="35"/>
      <c r="B12" s="170" t="s">
        <v>23</v>
      </c>
      <c r="C12" s="171"/>
      <c r="D12" s="171"/>
      <c r="E12" s="171"/>
      <c r="F12" s="172"/>
      <c r="G12" s="35"/>
      <c r="H12" s="42"/>
      <c r="I12" s="43" t="s">
        <v>35</v>
      </c>
      <c r="J12" s="43"/>
      <c r="K12" s="43"/>
      <c r="L12" s="162">
        <v>6.2E-2</v>
      </c>
      <c r="M12" s="162"/>
      <c r="N12" s="163">
        <v>6.2E-2</v>
      </c>
      <c r="O12" s="164"/>
      <c r="P12" s="35"/>
      <c r="Q12" s="42"/>
      <c r="R12" s="132">
        <v>5</v>
      </c>
      <c r="S12" s="131">
        <f t="shared" si="1"/>
        <v>44416</v>
      </c>
      <c r="T12" s="133">
        <v>5</v>
      </c>
      <c r="U12" s="131">
        <f t="shared" si="0"/>
        <v>44780</v>
      </c>
      <c r="V12" s="53"/>
      <c r="W12" s="43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</row>
    <row r="13" spans="1:85" x14ac:dyDescent="0.25">
      <c r="A13" s="43"/>
      <c r="B13" s="107"/>
      <c r="C13" s="108"/>
      <c r="D13" s="108"/>
      <c r="E13" s="109" t="s">
        <v>107</v>
      </c>
      <c r="F13" s="110" t="s">
        <v>108</v>
      </c>
      <c r="G13" s="35"/>
      <c r="H13" s="42"/>
      <c r="I13" s="43"/>
      <c r="J13" s="43" t="s">
        <v>39</v>
      </c>
      <c r="K13" s="43"/>
      <c r="L13" s="167">
        <f>SUM(L14:M15)/2</f>
        <v>144900</v>
      </c>
      <c r="M13" s="167"/>
      <c r="N13" s="168">
        <f>SUM(N14:O15)/2</f>
        <v>150300</v>
      </c>
      <c r="O13" s="169"/>
      <c r="P13" s="35"/>
      <c r="Q13" s="42"/>
      <c r="R13" s="132">
        <v>6</v>
      </c>
      <c r="S13" s="131">
        <f t="shared" si="1"/>
        <v>44430</v>
      </c>
      <c r="T13" s="133">
        <v>6</v>
      </c>
      <c r="U13" s="131">
        <f t="shared" si="0"/>
        <v>44794</v>
      </c>
      <c r="V13" s="53"/>
      <c r="W13" s="4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</row>
    <row r="14" spans="1:85" x14ac:dyDescent="0.25">
      <c r="A14" s="43"/>
      <c r="B14" s="111" t="s">
        <v>105</v>
      </c>
      <c r="C14" s="108"/>
      <c r="D14" s="108"/>
      <c r="E14" s="108"/>
      <c r="F14" s="112"/>
      <c r="G14" s="35"/>
      <c r="H14" s="42"/>
      <c r="I14" s="43"/>
      <c r="J14" s="43"/>
      <c r="K14" s="49" t="s">
        <v>18</v>
      </c>
      <c r="L14" s="161">
        <v>142800</v>
      </c>
      <c r="M14" s="161"/>
      <c r="N14" s="165">
        <v>147000</v>
      </c>
      <c r="O14" s="166"/>
      <c r="P14" s="35"/>
      <c r="Q14" s="42"/>
      <c r="R14" s="132">
        <v>7</v>
      </c>
      <c r="S14" s="131">
        <f t="shared" si="1"/>
        <v>44444</v>
      </c>
      <c r="T14" s="133">
        <v>7</v>
      </c>
      <c r="U14" s="131">
        <f t="shared" si="0"/>
        <v>44808</v>
      </c>
      <c r="V14" s="53"/>
      <c r="W14" s="43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</row>
    <row r="15" spans="1:85" x14ac:dyDescent="0.25">
      <c r="A15" s="43"/>
      <c r="B15" s="107"/>
      <c r="C15" s="113" t="s">
        <v>102</v>
      </c>
      <c r="D15" s="113"/>
      <c r="E15" s="114">
        <f>($E$3/26)*26</f>
        <v>90000</v>
      </c>
      <c r="F15" s="115">
        <f>$E$3</f>
        <v>90000</v>
      </c>
      <c r="G15" s="35"/>
      <c r="H15" s="42"/>
      <c r="I15" s="43"/>
      <c r="J15" s="43"/>
      <c r="K15" s="49" t="s">
        <v>19</v>
      </c>
      <c r="L15" s="161">
        <v>147000</v>
      </c>
      <c r="M15" s="161"/>
      <c r="N15" s="165">
        <v>153600</v>
      </c>
      <c r="O15" s="166"/>
      <c r="P15" s="35"/>
      <c r="Q15" s="140"/>
      <c r="R15" s="132">
        <v>8</v>
      </c>
      <c r="S15" s="131">
        <f t="shared" si="1"/>
        <v>44458</v>
      </c>
      <c r="T15" s="133">
        <v>8</v>
      </c>
      <c r="U15" s="131">
        <f t="shared" si="0"/>
        <v>44822</v>
      </c>
      <c r="V15" s="53"/>
      <c r="W15" s="43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</row>
    <row r="16" spans="1:85" x14ac:dyDescent="0.25">
      <c r="A16" s="43"/>
      <c r="B16" s="107"/>
      <c r="C16" s="113" t="s">
        <v>21</v>
      </c>
      <c r="D16" s="108"/>
      <c r="E16" s="116">
        <f>SUM(E17:E24)</f>
        <v>28281</v>
      </c>
      <c r="F16" s="117">
        <f>SUM(F17:F24)</f>
        <v>28541</v>
      </c>
      <c r="G16" s="35"/>
      <c r="H16" s="42"/>
      <c r="I16" s="43"/>
      <c r="J16" s="43"/>
      <c r="K16" s="43"/>
      <c r="L16" s="50"/>
      <c r="M16" s="50"/>
      <c r="N16" s="51"/>
      <c r="O16" s="52"/>
      <c r="P16" s="35"/>
      <c r="Q16" s="39"/>
      <c r="R16" s="132">
        <v>9</v>
      </c>
      <c r="S16" s="131">
        <f t="shared" si="1"/>
        <v>44472</v>
      </c>
      <c r="T16" s="133">
        <v>9</v>
      </c>
      <c r="U16" s="131">
        <f t="shared" si="0"/>
        <v>44836</v>
      </c>
      <c r="V16" s="53"/>
      <c r="W16" s="43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</row>
    <row r="17" spans="1:85" x14ac:dyDescent="0.25">
      <c r="A17" s="43"/>
      <c r="B17" s="107"/>
      <c r="C17" s="108"/>
      <c r="D17" s="118" t="s">
        <v>4</v>
      </c>
      <c r="E17" s="119">
        <f>ROUND(E$15*VLOOKUP($D17,$H:$X,5,FALSE),0)</f>
        <v>630</v>
      </c>
      <c r="F17" s="120">
        <f>ROUND(F$15*VLOOKUP($D17,$H:$X,7,FALSE),0)</f>
        <v>648</v>
      </c>
      <c r="G17" s="35"/>
      <c r="H17" s="39" t="s">
        <v>26</v>
      </c>
      <c r="I17" s="43"/>
      <c r="J17" s="43"/>
      <c r="K17" s="43"/>
      <c r="L17" s="43"/>
      <c r="M17" s="43"/>
      <c r="N17" s="42"/>
      <c r="O17" s="53"/>
      <c r="P17" s="35"/>
      <c r="Q17" s="39"/>
      <c r="R17" s="132">
        <v>10</v>
      </c>
      <c r="S17" s="131">
        <f t="shared" si="1"/>
        <v>44486</v>
      </c>
      <c r="T17" s="133">
        <v>10</v>
      </c>
      <c r="U17" s="131">
        <f t="shared" si="0"/>
        <v>44850</v>
      </c>
      <c r="V17" s="53"/>
      <c r="W17" s="43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1:85" ht="15" customHeight="1" x14ac:dyDescent="0.25">
      <c r="A18" s="43"/>
      <c r="B18" s="107"/>
      <c r="C18" s="108"/>
      <c r="D18" s="118" t="s">
        <v>5</v>
      </c>
      <c r="E18" s="119">
        <f>IF(E6="GA/Student",0,ROUND(E$15*VLOOKUP($D18,$H:$X,5,FALSE),0))</f>
        <v>414</v>
      </c>
      <c r="F18" s="120">
        <f>IF(E6="GA/Student",0,ROUND(F$15*VLOOKUP($D18,$H:$X,7,FALSE),0))</f>
        <v>90</v>
      </c>
      <c r="G18" s="35"/>
      <c r="H18" s="42"/>
      <c r="I18" s="43" t="s">
        <v>37</v>
      </c>
      <c r="J18" s="43"/>
      <c r="K18" s="43"/>
      <c r="L18" s="46">
        <v>0.1333</v>
      </c>
      <c r="M18" s="54" t="s">
        <v>25</v>
      </c>
      <c r="N18" s="47">
        <v>0.13109999999999999</v>
      </c>
      <c r="O18" s="55" t="s">
        <v>25</v>
      </c>
      <c r="P18" s="35"/>
      <c r="Q18" s="42"/>
      <c r="R18" s="132">
        <v>11</v>
      </c>
      <c r="S18" s="131">
        <f t="shared" si="1"/>
        <v>44500</v>
      </c>
      <c r="T18" s="133">
        <v>11</v>
      </c>
      <c r="U18" s="131">
        <f t="shared" si="0"/>
        <v>44864</v>
      </c>
      <c r="V18" s="53"/>
      <c r="W18" s="43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</row>
    <row r="19" spans="1:85" ht="15" customHeight="1" x14ac:dyDescent="0.25">
      <c r="A19" s="43"/>
      <c r="B19" s="107"/>
      <c r="C19" s="108"/>
      <c r="D19" s="118" t="s">
        <v>6</v>
      </c>
      <c r="E19" s="119">
        <f>ROUND(E$15*VLOOKUP($D19,$H:$X,5,FALSE),0)</f>
        <v>261</v>
      </c>
      <c r="F19" s="120">
        <f>ROUND(F$15*VLOOKUP($D19,$H:$X,7,FALSE),0)</f>
        <v>258</v>
      </c>
      <c r="G19" s="35"/>
      <c r="H19" s="42"/>
      <c r="I19" s="43" t="s">
        <v>9</v>
      </c>
      <c r="J19" s="43"/>
      <c r="K19" s="43"/>
      <c r="L19" s="54" t="s">
        <v>25</v>
      </c>
      <c r="M19" s="46">
        <v>8.5000000000000006E-2</v>
      </c>
      <c r="N19" s="56" t="s">
        <v>25</v>
      </c>
      <c r="O19" s="48">
        <v>8.5000000000000006E-2</v>
      </c>
      <c r="P19" s="35"/>
      <c r="Q19" s="42"/>
      <c r="R19" s="132">
        <v>12</v>
      </c>
      <c r="S19" s="131">
        <f t="shared" si="1"/>
        <v>44514</v>
      </c>
      <c r="T19" s="133">
        <v>12</v>
      </c>
      <c r="U19" s="131">
        <f t="shared" si="0"/>
        <v>44878</v>
      </c>
      <c r="V19" s="53"/>
      <c r="W19" s="43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</row>
    <row r="20" spans="1:85" ht="15" customHeight="1" x14ac:dyDescent="0.25">
      <c r="A20" s="43"/>
      <c r="B20" s="107"/>
      <c r="C20" s="108"/>
      <c r="D20" s="118" t="s">
        <v>8</v>
      </c>
      <c r="E20" s="119">
        <f>IF(E6="GA/Student",0,ROUND(E$15*VLOOKUP($D20,$H:$X,5,FALSE),0))</f>
        <v>900</v>
      </c>
      <c r="F20" s="120">
        <f>IF(E6="GA/Student",0,ROUND(F$15*VLOOKUP($D20,$H:$X,7,FALSE),0))</f>
        <v>900</v>
      </c>
      <c r="G20" s="35"/>
      <c r="H20" s="42"/>
      <c r="I20" s="43" t="s">
        <v>38</v>
      </c>
      <c r="J20" s="43"/>
      <c r="K20" s="43"/>
      <c r="L20" s="162">
        <v>0.22800000000000001</v>
      </c>
      <c r="M20" s="162"/>
      <c r="N20" s="163">
        <v>0.22989999999999999</v>
      </c>
      <c r="O20" s="164"/>
      <c r="P20" s="35"/>
      <c r="Q20" s="42"/>
      <c r="R20" s="132">
        <v>13</v>
      </c>
      <c r="S20" s="131">
        <f t="shared" si="1"/>
        <v>44528</v>
      </c>
      <c r="T20" s="133">
        <v>13</v>
      </c>
      <c r="U20" s="131">
        <f t="shared" si="0"/>
        <v>44892</v>
      </c>
      <c r="V20" s="53"/>
      <c r="W20" s="43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</row>
    <row r="21" spans="1:85" ht="15" customHeight="1" x14ac:dyDescent="0.25">
      <c r="A21" s="43"/>
      <c r="B21" s="107"/>
      <c r="C21" s="108"/>
      <c r="D21" s="118" t="s">
        <v>34</v>
      </c>
      <c r="E21" s="119">
        <f>IF(E6="GA/Student",0,ROUND(E$15*VLOOKUP($D21,$I:$X,4,FALSE),0))</f>
        <v>1305</v>
      </c>
      <c r="F21" s="120">
        <f>IF(E6="GA/Student",0,ROUND(F$15*VLOOKUP($D21,$I:$X,6,FALSE),0))</f>
        <v>1305</v>
      </c>
      <c r="G21" s="35"/>
      <c r="H21" s="42"/>
      <c r="I21" s="43"/>
      <c r="J21" s="43"/>
      <c r="K21" s="43"/>
      <c r="L21" s="43"/>
      <c r="M21" s="43"/>
      <c r="N21" s="42"/>
      <c r="O21" s="53"/>
      <c r="P21" s="35"/>
      <c r="Q21" s="42"/>
      <c r="R21" s="132">
        <v>14</v>
      </c>
      <c r="S21" s="131">
        <f t="shared" si="1"/>
        <v>44542</v>
      </c>
      <c r="T21" s="133">
        <v>14</v>
      </c>
      <c r="U21" s="131">
        <f t="shared" si="0"/>
        <v>44906</v>
      </c>
      <c r="V21" s="53"/>
      <c r="W21" s="43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</row>
    <row r="22" spans="1:85" ht="15" customHeight="1" x14ac:dyDescent="0.25">
      <c r="A22" s="43"/>
      <c r="B22" s="107"/>
      <c r="C22" s="108"/>
      <c r="D22" s="118" t="s">
        <v>35</v>
      </c>
      <c r="E22" s="119">
        <f>IF(E6="GA/Student",0,ROUND(IF(E15&lt;$L$13,E15*$L$12,IF(E15&gt;$L$13,$L$13*$L$12)),0))</f>
        <v>5580</v>
      </c>
      <c r="F22" s="120">
        <f>IF(E6="GA/Student",0,ROUND(IF(F15&lt;$N$13,F15*$N$12,IF(F15&gt;$N$13,$N$13*$N$12)),0))</f>
        <v>5580</v>
      </c>
      <c r="G22" s="35"/>
      <c r="H22" s="39" t="s">
        <v>103</v>
      </c>
      <c r="I22" s="43"/>
      <c r="J22" s="43"/>
      <c r="K22" s="43"/>
      <c r="L22" s="43"/>
      <c r="M22" s="43"/>
      <c r="N22" s="42"/>
      <c r="O22" s="53"/>
      <c r="P22" s="35"/>
      <c r="Q22" s="42"/>
      <c r="R22" s="132">
        <v>15</v>
      </c>
      <c r="S22" s="131">
        <f t="shared" si="1"/>
        <v>44556</v>
      </c>
      <c r="T22" s="133">
        <v>15</v>
      </c>
      <c r="U22" s="131">
        <f t="shared" si="0"/>
        <v>44920</v>
      </c>
      <c r="V22" s="53"/>
      <c r="W22" s="43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</row>
    <row r="23" spans="1:85" ht="15" customHeight="1" x14ac:dyDescent="0.25">
      <c r="A23" s="43"/>
      <c r="B23" s="107"/>
      <c r="C23" s="108"/>
      <c r="D23" s="118" t="s">
        <v>22</v>
      </c>
      <c r="E23" s="119">
        <f>IF(E6="GA/Student",0,ROUND((IF(E6="USS",L18,IF(E6="Unclassified",M19,IF(E6="Police",L20,"")))*E15),0))</f>
        <v>7650</v>
      </c>
      <c r="F23" s="120">
        <f>IF(E6="GA/Student",0,ROUND((IF(E6="USS",N18,IF(E6="Unclassified",O19,IF(E6="Police",N20,"")))*F15),0))</f>
        <v>7650</v>
      </c>
      <c r="G23" s="35"/>
      <c r="H23" s="42"/>
      <c r="I23" s="43" t="s">
        <v>13</v>
      </c>
      <c r="J23" s="43"/>
      <c r="K23" s="43"/>
      <c r="L23" s="157">
        <v>653.02</v>
      </c>
      <c r="M23" s="157"/>
      <c r="N23" s="158">
        <v>685.28</v>
      </c>
      <c r="O23" s="159"/>
      <c r="P23" s="35"/>
      <c r="Q23" s="42"/>
      <c r="R23" s="132">
        <v>16</v>
      </c>
      <c r="S23" s="131">
        <f t="shared" si="1"/>
        <v>44570</v>
      </c>
      <c r="T23" s="133">
        <v>16</v>
      </c>
      <c r="U23" s="131">
        <f t="shared" si="0"/>
        <v>44934</v>
      </c>
      <c r="V23" s="53"/>
      <c r="W23" s="43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</row>
    <row r="24" spans="1:85" ht="15" customHeight="1" x14ac:dyDescent="0.25">
      <c r="A24" s="43"/>
      <c r="B24" s="107"/>
      <c r="C24" s="108"/>
      <c r="D24" s="118" t="s">
        <v>104</v>
      </c>
      <c r="E24" s="121">
        <f>IF(E6="GA/Student",0,IF(E5="Summer Session",0,ROUND(12*VLOOKUP($E$8,$I:$X,4,FALSE),0)))</f>
        <v>11541</v>
      </c>
      <c r="F24" s="122">
        <f>IF(E6="GA/Student",0,IF(E5="Summer Session",0,ROUND(12*VLOOKUP($E$8,$I:$X,6,FALSE),0)))</f>
        <v>12110</v>
      </c>
      <c r="G24" s="35"/>
      <c r="H24" s="42"/>
      <c r="I24" s="43" t="s">
        <v>14</v>
      </c>
      <c r="J24" s="43"/>
      <c r="K24" s="43"/>
      <c r="L24" s="157">
        <v>517.48</v>
      </c>
      <c r="M24" s="157"/>
      <c r="N24" s="158">
        <v>543.14</v>
      </c>
      <c r="O24" s="159"/>
      <c r="P24" s="35"/>
      <c r="Q24" s="42"/>
      <c r="R24" s="132">
        <v>17</v>
      </c>
      <c r="S24" s="131">
        <f t="shared" si="1"/>
        <v>44584</v>
      </c>
      <c r="T24" s="133">
        <v>17</v>
      </c>
      <c r="U24" s="131">
        <f t="shared" si="0"/>
        <v>44948</v>
      </c>
      <c r="V24" s="53"/>
      <c r="W24" s="43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</row>
    <row r="25" spans="1:85" ht="15" customHeight="1" x14ac:dyDescent="0.25">
      <c r="A25" s="43"/>
      <c r="B25" s="107"/>
      <c r="C25" s="113" t="s">
        <v>24</v>
      </c>
      <c r="D25" s="108"/>
      <c r="E25" s="123">
        <f>E15+E16</f>
        <v>118281</v>
      </c>
      <c r="F25" s="115">
        <f>F15+F16</f>
        <v>118541</v>
      </c>
      <c r="G25" s="35"/>
      <c r="H25" s="42"/>
      <c r="I25" s="43" t="s">
        <v>11</v>
      </c>
      <c r="J25" s="43"/>
      <c r="K25" s="43"/>
      <c r="L25" s="157">
        <f>L23+308.72</f>
        <v>961.74</v>
      </c>
      <c r="M25" s="157"/>
      <c r="N25" s="158">
        <f>N23+323.88</f>
        <v>1009.16</v>
      </c>
      <c r="O25" s="159"/>
      <c r="P25" s="35"/>
      <c r="Q25" s="42"/>
      <c r="R25" s="132">
        <v>18</v>
      </c>
      <c r="S25" s="131">
        <f t="shared" si="1"/>
        <v>44598</v>
      </c>
      <c r="T25" s="133">
        <v>18</v>
      </c>
      <c r="U25" s="131">
        <f t="shared" si="0"/>
        <v>44962</v>
      </c>
      <c r="V25" s="53"/>
      <c r="W25" s="43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</row>
    <row r="26" spans="1:85" ht="15" customHeight="1" x14ac:dyDescent="0.25">
      <c r="A26" s="43"/>
      <c r="B26" s="107"/>
      <c r="C26" s="108"/>
      <c r="D26" s="108"/>
      <c r="E26" s="108"/>
      <c r="F26" s="112"/>
      <c r="G26" s="35"/>
      <c r="H26" s="42"/>
      <c r="I26" s="43" t="s">
        <v>12</v>
      </c>
      <c r="J26" s="43"/>
      <c r="K26" s="43"/>
      <c r="L26" s="157">
        <f>L24+244.02</f>
        <v>761.5</v>
      </c>
      <c r="M26" s="157"/>
      <c r="N26" s="158">
        <f>N24+255.98</f>
        <v>799.12</v>
      </c>
      <c r="O26" s="159"/>
      <c r="P26" s="35"/>
      <c r="Q26" s="42"/>
      <c r="R26" s="132">
        <v>19</v>
      </c>
      <c r="S26" s="131">
        <f t="shared" si="1"/>
        <v>44612</v>
      </c>
      <c r="T26" s="133">
        <v>19</v>
      </c>
      <c r="U26" s="131">
        <f t="shared" si="0"/>
        <v>44976</v>
      </c>
      <c r="V26" s="53"/>
      <c r="W26" s="43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</row>
    <row r="27" spans="1:85" ht="15" customHeight="1" x14ac:dyDescent="0.25">
      <c r="A27" s="43"/>
      <c r="B27" s="111" t="s">
        <v>106</v>
      </c>
      <c r="C27" s="108"/>
      <c r="D27" s="108"/>
      <c r="E27" s="108"/>
      <c r="F27" s="112"/>
      <c r="G27" s="35"/>
      <c r="H27" s="42"/>
      <c r="I27" s="43" t="s">
        <v>15</v>
      </c>
      <c r="J27" s="43"/>
      <c r="K27" s="43"/>
      <c r="L27" s="157">
        <v>1019.9</v>
      </c>
      <c r="M27" s="157"/>
      <c r="N27" s="158">
        <v>1070.24</v>
      </c>
      <c r="O27" s="159"/>
      <c r="P27" s="35"/>
      <c r="Q27" s="42"/>
      <c r="R27" s="132">
        <v>20</v>
      </c>
      <c r="S27" s="131">
        <f t="shared" si="1"/>
        <v>44626</v>
      </c>
      <c r="T27" s="133">
        <v>20</v>
      </c>
      <c r="U27" s="131">
        <f t="shared" si="0"/>
        <v>44990</v>
      </c>
      <c r="V27" s="53"/>
      <c r="W27" s="43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</row>
    <row r="28" spans="1:85" ht="15" customHeight="1" x14ac:dyDescent="0.25">
      <c r="A28" s="43"/>
      <c r="B28" s="124"/>
      <c r="C28" s="113" t="s">
        <v>102</v>
      </c>
      <c r="D28" s="113"/>
      <c r="E28" s="114">
        <f>IF($E$5=12,Data!V38,IF($E$5=10,Data!W38,IF($E$5=9,Data!X38,IF($E$5="Summer Session",0,"Select Appoint."))))</f>
        <v>83077</v>
      </c>
      <c r="F28" s="115">
        <f>IF($E$5=12,Data!V72,IF($E$5=10,Data!W72,IF($E$5=9,Data!X72,IF($E$5="Summer Session",0,"Select Appoint."))))</f>
        <v>90000</v>
      </c>
      <c r="G28" s="35"/>
      <c r="H28" s="42"/>
      <c r="I28" s="43" t="s">
        <v>16</v>
      </c>
      <c r="J28" s="43"/>
      <c r="K28" s="43"/>
      <c r="L28" s="157">
        <v>809.8</v>
      </c>
      <c r="M28" s="157"/>
      <c r="N28" s="158">
        <v>849.84</v>
      </c>
      <c r="O28" s="159"/>
      <c r="P28" s="43"/>
      <c r="Q28" s="42"/>
      <c r="R28" s="132">
        <v>21</v>
      </c>
      <c r="S28" s="131">
        <f t="shared" si="1"/>
        <v>44640</v>
      </c>
      <c r="T28" s="133">
        <v>21</v>
      </c>
      <c r="U28" s="131">
        <f t="shared" si="0"/>
        <v>45004</v>
      </c>
      <c r="V28" s="53"/>
      <c r="W28" s="43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</row>
    <row r="29" spans="1:85" ht="15" customHeight="1" x14ac:dyDescent="0.25">
      <c r="A29" s="43"/>
      <c r="B29" s="107"/>
      <c r="C29" s="113" t="s">
        <v>21</v>
      </c>
      <c r="D29" s="108"/>
      <c r="E29" s="116">
        <f>SUM(E30:E37)</f>
        <v>18971</v>
      </c>
      <c r="F29" s="117">
        <f>SUM(F30:F37)</f>
        <v>27932</v>
      </c>
      <c r="G29" s="35"/>
      <c r="H29" s="42"/>
      <c r="I29" s="43" t="s">
        <v>36</v>
      </c>
      <c r="J29" s="43"/>
      <c r="K29" s="43"/>
      <c r="L29" s="157">
        <v>0</v>
      </c>
      <c r="M29" s="157"/>
      <c r="N29" s="158">
        <v>0</v>
      </c>
      <c r="O29" s="159"/>
      <c r="P29" s="35"/>
      <c r="Q29" s="42"/>
      <c r="R29" s="132">
        <v>22</v>
      </c>
      <c r="S29" s="131">
        <f t="shared" si="1"/>
        <v>44654</v>
      </c>
      <c r="T29" s="133">
        <v>22</v>
      </c>
      <c r="U29" s="131">
        <f t="shared" si="0"/>
        <v>45018</v>
      </c>
      <c r="V29" s="53"/>
      <c r="W29" s="43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</row>
    <row r="30" spans="1:85" ht="15" customHeight="1" x14ac:dyDescent="0.25">
      <c r="A30" s="43"/>
      <c r="B30" s="107"/>
      <c r="C30" s="108"/>
      <c r="D30" s="118" t="s">
        <v>4</v>
      </c>
      <c r="E30" s="119">
        <f>ROUND(E$28*VLOOKUP($D30,$H:$X,5,FALSE),0)</f>
        <v>582</v>
      </c>
      <c r="F30" s="120">
        <f>ROUND(F$28*VLOOKUP($D30,$H:$X,7,FALSE),0)</f>
        <v>648</v>
      </c>
      <c r="G30" s="35"/>
      <c r="H30" s="42"/>
      <c r="I30" s="43"/>
      <c r="J30" s="43"/>
      <c r="K30" s="43"/>
      <c r="L30" s="43"/>
      <c r="M30" s="43"/>
      <c r="N30" s="42"/>
      <c r="O30" s="53"/>
      <c r="P30" s="35"/>
      <c r="Q30" s="42"/>
      <c r="R30" s="132">
        <v>23</v>
      </c>
      <c r="S30" s="131">
        <f t="shared" si="1"/>
        <v>44668</v>
      </c>
      <c r="T30" s="133">
        <v>23</v>
      </c>
      <c r="U30" s="131">
        <f t="shared" si="0"/>
        <v>45032</v>
      </c>
      <c r="V30" s="53"/>
      <c r="W30" s="43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</row>
    <row r="31" spans="1:85" ht="15" customHeight="1" x14ac:dyDescent="0.25">
      <c r="A31" s="43"/>
      <c r="B31" s="107"/>
      <c r="C31" s="108"/>
      <c r="D31" s="118" t="s">
        <v>5</v>
      </c>
      <c r="E31" s="119">
        <f>IF(E6="GA/Student",0,ROUND(E$28*VLOOKUP($D31,$H:$X,5,FALSE),0))</f>
        <v>382</v>
      </c>
      <c r="F31" s="120">
        <f>IF(E6="GA/Student",0,ROUND(F$28*VLOOKUP($D31,$H:$X,7,FALSE),0))</f>
        <v>90</v>
      </c>
      <c r="G31" s="35"/>
      <c r="H31" s="39" t="s">
        <v>59</v>
      </c>
      <c r="I31" s="43"/>
      <c r="J31" s="43"/>
      <c r="K31" s="43"/>
      <c r="L31" s="43"/>
      <c r="M31" s="43"/>
      <c r="N31" s="42"/>
      <c r="O31" s="53"/>
      <c r="P31" s="35"/>
      <c r="Q31" s="42"/>
      <c r="R31" s="132">
        <v>24</v>
      </c>
      <c r="S31" s="131">
        <f t="shared" si="1"/>
        <v>44682</v>
      </c>
      <c r="T31" s="133">
        <v>24</v>
      </c>
      <c r="U31" s="131">
        <f t="shared" si="0"/>
        <v>45046</v>
      </c>
      <c r="V31" s="53"/>
      <c r="W31" s="43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</row>
    <row r="32" spans="1:85" ht="15" customHeight="1" x14ac:dyDescent="0.25">
      <c r="A32" s="43"/>
      <c r="B32" s="107"/>
      <c r="C32" s="108"/>
      <c r="D32" s="118" t="s">
        <v>6</v>
      </c>
      <c r="E32" s="119">
        <f>ROUND(E$28*VLOOKUP($D32,$H:$X,5,FALSE),0)</f>
        <v>241</v>
      </c>
      <c r="F32" s="120">
        <f>ROUND(F$28*VLOOKUP($D32,$H:$X,7,FALSE),0)</f>
        <v>258</v>
      </c>
      <c r="G32" s="35"/>
      <c r="H32" s="42"/>
      <c r="I32" s="104" t="s">
        <v>86</v>
      </c>
      <c r="J32" s="43"/>
      <c r="K32" s="43"/>
      <c r="L32" s="153">
        <f>SUM(L6:M12)</f>
        <v>0.10100000000000001</v>
      </c>
      <c r="M32" s="153"/>
      <c r="N32" s="155">
        <f>SUM(N6:O12)</f>
        <v>9.756999999999999E-2</v>
      </c>
      <c r="O32" s="160"/>
      <c r="P32" s="35"/>
      <c r="Q32" s="42"/>
      <c r="R32" s="132">
        <v>25</v>
      </c>
      <c r="S32" s="131">
        <f t="shared" si="1"/>
        <v>44696</v>
      </c>
      <c r="T32" s="133">
        <v>25</v>
      </c>
      <c r="U32" s="131">
        <f t="shared" si="0"/>
        <v>45060</v>
      </c>
      <c r="V32" s="53"/>
      <c r="W32" s="43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</row>
    <row r="33" spans="1:85" ht="15" customHeight="1" x14ac:dyDescent="0.25">
      <c r="A33" s="43"/>
      <c r="B33" s="107"/>
      <c r="C33" s="108"/>
      <c r="D33" s="118" t="s">
        <v>8</v>
      </c>
      <c r="E33" s="119">
        <f>IF(E6="GA/Student",0,ROUND(E$28*VLOOKUP($D33,$H:$X,5,FALSE),0))</f>
        <v>831</v>
      </c>
      <c r="F33" s="120">
        <f>IF(E6="GA/Student",0,ROUND(F$28*VLOOKUP($D33,$H:$X,7,FALSE),0))</f>
        <v>900</v>
      </c>
      <c r="G33" s="35"/>
      <c r="H33" s="42"/>
      <c r="I33" s="104" t="s">
        <v>87</v>
      </c>
      <c r="J33" s="43"/>
      <c r="K33" s="43"/>
      <c r="L33" s="57">
        <f>SUM(L6:M12)+L18</f>
        <v>0.23430000000000001</v>
      </c>
      <c r="M33" s="57">
        <f>SUM(L6:M12)+M19</f>
        <v>0.186</v>
      </c>
      <c r="N33" s="58">
        <f>SUM(N6:O12)+N18</f>
        <v>0.22866999999999998</v>
      </c>
      <c r="O33" s="59">
        <f>SUM(N6:O12)+O19</f>
        <v>0.18257000000000001</v>
      </c>
      <c r="P33" s="35"/>
      <c r="Q33" s="42"/>
      <c r="R33" s="132">
        <v>26</v>
      </c>
      <c r="S33" s="131">
        <f t="shared" si="1"/>
        <v>44710</v>
      </c>
      <c r="T33" s="133">
        <v>26</v>
      </c>
      <c r="U33" s="131">
        <f t="shared" si="0"/>
        <v>45074</v>
      </c>
      <c r="V33" s="53"/>
      <c r="W33" s="43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</row>
    <row r="34" spans="1:85" x14ac:dyDescent="0.25">
      <c r="A34" s="43"/>
      <c r="B34" s="107"/>
      <c r="C34" s="108"/>
      <c r="D34" s="118" t="s">
        <v>34</v>
      </c>
      <c r="E34" s="119">
        <f>IF(E6="GA/Student",0,ROUND(E$28*VLOOKUP($D34,$I:$X,4,FALSE),0))</f>
        <v>1205</v>
      </c>
      <c r="F34" s="120">
        <f>IF(E6="GA/Student",0,ROUND(F$28*VLOOKUP($D34,$I:$X,6,FALSE),0))</f>
        <v>1305</v>
      </c>
      <c r="G34" s="35"/>
      <c r="H34" s="42"/>
      <c r="I34" s="105" t="s">
        <v>88</v>
      </c>
      <c r="J34" s="43"/>
      <c r="K34" s="43"/>
      <c r="L34" s="153">
        <f>SUM(L6:M12)+L20</f>
        <v>0.32900000000000001</v>
      </c>
      <c r="M34" s="154"/>
      <c r="N34" s="155">
        <f>SUM(N6:O12)+N20</f>
        <v>0.32746999999999998</v>
      </c>
      <c r="O34" s="156"/>
      <c r="P34" s="35"/>
      <c r="Q34" s="63"/>
      <c r="R34" s="64"/>
      <c r="S34" s="64"/>
      <c r="T34" s="64"/>
      <c r="U34" s="64"/>
      <c r="V34" s="134"/>
      <c r="W34" s="43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</row>
    <row r="35" spans="1:85" x14ac:dyDescent="0.25">
      <c r="A35" s="43"/>
      <c r="B35" s="107"/>
      <c r="C35" s="108"/>
      <c r="D35" s="118" t="s">
        <v>35</v>
      </c>
      <c r="E35" s="119">
        <f>IF(E6="GA/Student",0,ROUND(IF(E28&lt;$L$13,E28*$L$12,IF(E28&gt;$L$13,$L$13*$L$12)),0))</f>
        <v>5151</v>
      </c>
      <c r="F35" s="120">
        <f>IF(E6="GA/Student",0,ROUND(IF(F28&lt;$N$13,F28*$N$12,IF(F28&gt;$N$13,$N$13*$N$12)),0))</f>
        <v>5580</v>
      </c>
      <c r="G35" s="35"/>
      <c r="H35" s="42"/>
      <c r="I35" s="32"/>
      <c r="J35" s="33"/>
      <c r="K35" s="32"/>
      <c r="L35" s="150"/>
      <c r="M35" s="150"/>
      <c r="N35" s="151"/>
      <c r="O35" s="152"/>
      <c r="P35" s="60"/>
      <c r="Q35" s="43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</row>
    <row r="36" spans="1:85" x14ac:dyDescent="0.25">
      <c r="A36" s="43"/>
      <c r="B36" s="107"/>
      <c r="C36" s="108"/>
      <c r="D36" s="118" t="s">
        <v>22</v>
      </c>
      <c r="E36" s="119">
        <f>IF($E$5=12,Data!AE38,IF($E$5=10,Data!AF38,IF($E$5=9,Data!AG38,IF($E$5="Summer Session",0,"Select Appoint."))))</f>
        <v>0</v>
      </c>
      <c r="F36" s="120">
        <f>IF($E$5=12,Data!AE72,IF($E$5=10,Data!AF72,IF($E$5=9,Data!AG72,IF($E$5="Summer Session",0,"Select Appoint."))))</f>
        <v>7041</v>
      </c>
      <c r="G36" s="35"/>
      <c r="H36" s="42"/>
      <c r="I36" s="104" t="s">
        <v>89</v>
      </c>
      <c r="J36" s="33"/>
      <c r="K36" s="32"/>
      <c r="L36" s="61">
        <f>SUM(L6:M12)</f>
        <v>0.10100000000000001</v>
      </c>
      <c r="M36" s="54" t="s">
        <v>25</v>
      </c>
      <c r="N36" s="62">
        <f>SUM(N6:O12)</f>
        <v>9.756999999999999E-2</v>
      </c>
      <c r="O36" s="55" t="s">
        <v>25</v>
      </c>
      <c r="P36" s="60"/>
      <c r="Q36" s="43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</row>
    <row r="37" spans="1:85" x14ac:dyDescent="0.25">
      <c r="A37" s="43"/>
      <c r="B37" s="107"/>
      <c r="C37" s="108"/>
      <c r="D37" s="118" t="s">
        <v>104</v>
      </c>
      <c r="E37" s="121">
        <f>IF(E6="GA/Student",0,IF($E$5=12,Data!Z38,IF($E$5=10,Data!AA38,IF($E$5=9,Data!AB38,IF($E$5="Summer Session",0,"Select Appoint.")))))</f>
        <v>10579</v>
      </c>
      <c r="F37" s="122">
        <f>IF(E6="GA/Student",0,IF($E$5=12,Data!Z72,IF($E$5=10,Data!AA72,IF($E$5=9,Data!AB72,IF($E$5="Summer Session",0,"Select Appoint.")))))</f>
        <v>12110</v>
      </c>
      <c r="G37" s="35"/>
      <c r="H37" s="42"/>
      <c r="I37" s="104" t="s">
        <v>90</v>
      </c>
      <c r="J37" s="33"/>
      <c r="K37" s="32"/>
      <c r="L37" s="61">
        <f>SUM(L6:M12)+L18</f>
        <v>0.23430000000000001</v>
      </c>
      <c r="M37" s="54" t="s">
        <v>25</v>
      </c>
      <c r="N37" s="137">
        <f>SUM(N6:O12)+N18</f>
        <v>0.22866999999999998</v>
      </c>
      <c r="O37" s="55" t="s">
        <v>25</v>
      </c>
      <c r="P37" s="60"/>
      <c r="Q37" s="43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</row>
    <row r="38" spans="1:85" x14ac:dyDescent="0.25">
      <c r="A38" s="43"/>
      <c r="B38" s="107"/>
      <c r="C38" s="113" t="s">
        <v>24</v>
      </c>
      <c r="D38" s="108"/>
      <c r="E38" s="123">
        <f>E28+E29</f>
        <v>102048</v>
      </c>
      <c r="F38" s="115">
        <f>F28+F29</f>
        <v>117932</v>
      </c>
      <c r="G38" s="35"/>
      <c r="H38" s="42"/>
      <c r="I38" s="104" t="s">
        <v>91</v>
      </c>
      <c r="J38" s="32"/>
      <c r="K38" s="32"/>
      <c r="L38" s="54" t="s">
        <v>25</v>
      </c>
      <c r="M38" s="136">
        <f>SUM(L6:M12)</f>
        <v>0.10100000000000001</v>
      </c>
      <c r="N38" s="56" t="s">
        <v>25</v>
      </c>
      <c r="O38" s="138">
        <f>SUM(N6:O12)</f>
        <v>9.756999999999999E-2</v>
      </c>
      <c r="P38" s="60"/>
      <c r="Q38" s="43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</row>
    <row r="39" spans="1:85" x14ac:dyDescent="0.25">
      <c r="A39" s="43"/>
      <c r="B39" s="125"/>
      <c r="C39" s="126"/>
      <c r="D39" s="127"/>
      <c r="E39" s="128"/>
      <c r="F39" s="129"/>
      <c r="G39" s="35"/>
      <c r="H39" s="42"/>
      <c r="I39" s="104" t="s">
        <v>92</v>
      </c>
      <c r="J39" s="32"/>
      <c r="K39" s="32"/>
      <c r="L39" s="54" t="s">
        <v>25</v>
      </c>
      <c r="M39" s="136">
        <f>SUM(L6:M12)</f>
        <v>0.10100000000000001</v>
      </c>
      <c r="N39" s="56" t="s">
        <v>25</v>
      </c>
      <c r="O39" s="138">
        <f>SUM(N6:O12)</f>
        <v>9.756999999999999E-2</v>
      </c>
      <c r="P39" s="60"/>
      <c r="Q39" s="43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</row>
    <row r="40" spans="1:85" x14ac:dyDescent="0.25">
      <c r="A40" s="43"/>
      <c r="B40" s="43"/>
      <c r="C40" s="43"/>
      <c r="D40" s="43"/>
      <c r="E40" s="43"/>
      <c r="F40" s="43"/>
      <c r="G40" s="35"/>
      <c r="H40" s="42"/>
      <c r="I40" s="104" t="s">
        <v>93</v>
      </c>
      <c r="J40" s="32"/>
      <c r="K40" s="32"/>
      <c r="L40" s="54" t="s">
        <v>25</v>
      </c>
      <c r="M40" s="136">
        <f>SUM(L6:M12)</f>
        <v>0.10100000000000001</v>
      </c>
      <c r="N40" s="56" t="s">
        <v>25</v>
      </c>
      <c r="O40" s="138">
        <f>SUM(N6:O12)</f>
        <v>9.756999999999999E-2</v>
      </c>
      <c r="P40" s="60"/>
      <c r="Q40" s="43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</row>
    <row r="41" spans="1:85" ht="15" customHeight="1" x14ac:dyDescent="0.25">
      <c r="A41" s="43"/>
      <c r="B41" s="43"/>
      <c r="C41" s="43"/>
      <c r="D41" s="43"/>
      <c r="E41" s="43"/>
      <c r="F41" s="43"/>
      <c r="G41" s="35"/>
      <c r="H41" s="42"/>
      <c r="I41" s="106" t="s">
        <v>94</v>
      </c>
      <c r="J41" s="32"/>
      <c r="K41" s="32"/>
      <c r="L41" s="65"/>
      <c r="M41" s="65"/>
      <c r="N41" s="66"/>
      <c r="O41" s="67"/>
      <c r="P41" s="60"/>
      <c r="Q41" s="43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</row>
    <row r="42" spans="1:85" x14ac:dyDescent="0.25">
      <c r="A42" s="35"/>
      <c r="B42" s="35"/>
      <c r="C42" s="35"/>
      <c r="D42" s="35"/>
      <c r="E42" s="35"/>
      <c r="F42" s="35"/>
      <c r="G42" s="35"/>
      <c r="H42" s="42"/>
      <c r="I42" s="34" t="s">
        <v>95</v>
      </c>
      <c r="J42" s="32"/>
      <c r="K42" s="32"/>
      <c r="L42" s="54" t="s">
        <v>25</v>
      </c>
      <c r="M42" s="136">
        <f>SUM(L6:M12)+M19</f>
        <v>0.186</v>
      </c>
      <c r="N42" s="56" t="s">
        <v>25</v>
      </c>
      <c r="O42" s="138">
        <f>SUM(N6:O12)+O19</f>
        <v>0.18257000000000001</v>
      </c>
      <c r="P42" s="60"/>
      <c r="Q42" s="43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</row>
    <row r="43" spans="1:85" ht="15" customHeight="1" x14ac:dyDescent="0.25">
      <c r="A43" s="35"/>
      <c r="B43" s="35"/>
      <c r="C43" s="35"/>
      <c r="D43" s="35"/>
      <c r="E43" s="35"/>
      <c r="F43" s="35"/>
      <c r="G43" s="35"/>
      <c r="H43" s="42"/>
      <c r="I43" s="32"/>
      <c r="J43" s="32"/>
      <c r="K43" s="32"/>
      <c r="L43" s="65"/>
      <c r="M43" s="65"/>
      <c r="N43" s="66"/>
      <c r="O43" s="67"/>
      <c r="P43" s="60"/>
      <c r="Q43" s="43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</row>
    <row r="44" spans="1:85" ht="15" customHeight="1" x14ac:dyDescent="0.25">
      <c r="A44" s="35"/>
      <c r="B44" s="35"/>
      <c r="C44" s="35"/>
      <c r="D44" s="35"/>
      <c r="E44" s="35"/>
      <c r="F44" s="35"/>
      <c r="G44" s="35"/>
      <c r="H44" s="42"/>
      <c r="I44" s="145" t="s">
        <v>99</v>
      </c>
      <c r="J44" s="146"/>
      <c r="K44" s="146"/>
      <c r="L44" s="147">
        <f>L7+L9</f>
        <v>1.46E-2</v>
      </c>
      <c r="M44" s="147"/>
      <c r="N44" s="148">
        <f>N7+N9</f>
        <v>1.0999999999999999E-2</v>
      </c>
      <c r="O44" s="149"/>
      <c r="P44" s="60"/>
      <c r="Q44" s="43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</row>
    <row r="45" spans="1:85" x14ac:dyDescent="0.25">
      <c r="A45" s="35"/>
      <c r="B45" s="35"/>
      <c r="C45" s="35"/>
      <c r="D45" s="35"/>
      <c r="E45" s="35"/>
      <c r="F45" s="35"/>
      <c r="G45" s="35"/>
      <c r="H45" s="42"/>
      <c r="I45" s="65" t="s">
        <v>100</v>
      </c>
      <c r="J45" s="65"/>
      <c r="K45" s="65"/>
      <c r="L45" s="65"/>
      <c r="M45" s="65"/>
      <c r="N45" s="66"/>
      <c r="O45" s="67"/>
      <c r="P45" s="60"/>
      <c r="Q45" s="43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</row>
    <row r="46" spans="1:85" x14ac:dyDescent="0.25">
      <c r="A46" s="35"/>
      <c r="B46" s="35"/>
      <c r="C46" s="35"/>
      <c r="D46" s="35"/>
      <c r="E46" s="35"/>
      <c r="F46" s="35"/>
      <c r="G46" s="35"/>
      <c r="H46" s="63"/>
      <c r="I46" s="135"/>
      <c r="J46" s="68"/>
      <c r="K46" s="68"/>
      <c r="L46" s="68"/>
      <c r="M46" s="68"/>
      <c r="N46" s="68"/>
      <c r="O46" s="69"/>
      <c r="P46" s="60"/>
      <c r="Q46" s="43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</row>
    <row r="47" spans="1:85" x14ac:dyDescent="0.25">
      <c r="A47" s="35"/>
      <c r="B47" s="35"/>
      <c r="C47" s="35"/>
      <c r="D47" s="35"/>
      <c r="E47" s="35"/>
      <c r="F47" s="35"/>
      <c r="G47" s="35"/>
      <c r="H47" s="35"/>
      <c r="I47" s="60"/>
      <c r="J47" s="60"/>
      <c r="K47" s="60"/>
      <c r="L47" s="60"/>
      <c r="M47" s="60"/>
      <c r="N47" s="60"/>
      <c r="O47" s="60"/>
      <c r="P47" s="60"/>
      <c r="Q47" s="43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</row>
    <row r="48" spans="1:8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43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</row>
    <row r="49" spans="1:8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43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</row>
    <row r="50" spans="1:8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3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</row>
    <row r="51" spans="1:8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43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</row>
    <row r="52" spans="1:8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43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</row>
    <row r="53" spans="1:8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43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</row>
    <row r="54" spans="1:8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43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</row>
    <row r="55" spans="1:8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43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</row>
    <row r="56" spans="1:8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3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</row>
    <row r="57" spans="1:8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3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</row>
    <row r="58" spans="1:8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43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</row>
    <row r="59" spans="1:8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3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</row>
    <row r="60" spans="1:8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43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</row>
    <row r="61" spans="1:8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3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</row>
    <row r="62" spans="1:8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43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</row>
    <row r="63" spans="1:8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3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</row>
    <row r="64" spans="1:8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43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</row>
    <row r="65" spans="1:8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3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</row>
    <row r="66" spans="1:8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43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</row>
    <row r="67" spans="1:8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3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</row>
    <row r="68" spans="1:8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43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</row>
    <row r="69" spans="1:8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43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</row>
    <row r="70" spans="1:8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43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</row>
    <row r="71" spans="1:8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43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</row>
    <row r="72" spans="1:8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43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</row>
    <row r="73" spans="1:8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43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</row>
    <row r="74" spans="1:8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43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</row>
    <row r="75" spans="1:8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43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</row>
    <row r="76" spans="1:8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3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</row>
    <row r="77" spans="1:8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43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</row>
    <row r="78" spans="1:8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43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</row>
    <row r="79" spans="1:8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43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</row>
    <row r="80" spans="1:8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43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</row>
    <row r="81" spans="1:8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43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</row>
    <row r="82" spans="1:8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43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</row>
    <row r="83" spans="1:8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43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</row>
    <row r="84" spans="1:8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3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</row>
    <row r="85" spans="1:8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43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</row>
    <row r="86" spans="1:8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43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</row>
    <row r="87" spans="1:8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43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</row>
    <row r="88" spans="1:8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43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</row>
    <row r="89" spans="1:8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43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</row>
    <row r="90" spans="1:8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43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</row>
    <row r="91" spans="1:8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43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</row>
    <row r="92" spans="1:8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43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</row>
    <row r="93" spans="1:8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3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</row>
    <row r="94" spans="1:8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43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</row>
    <row r="95" spans="1:8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43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</row>
    <row r="96" spans="1:8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43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</row>
    <row r="97" spans="1:8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43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</row>
    <row r="98" spans="1:8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43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</row>
    <row r="99" spans="1:8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43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</row>
    <row r="100" spans="1:8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43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</row>
    <row r="101" spans="1:8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43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</row>
    <row r="102" spans="1:8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43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</row>
    <row r="103" spans="1:8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43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</row>
    <row r="104" spans="1:8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43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</row>
    <row r="105" spans="1:8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43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</row>
    <row r="106" spans="1:8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43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</row>
    <row r="107" spans="1:8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43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</row>
    <row r="108" spans="1:8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43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</row>
    <row r="109" spans="1:8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43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</row>
    <row r="110" spans="1:8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43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</row>
    <row r="111" spans="1:8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43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</row>
    <row r="112" spans="1:8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43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</row>
    <row r="113" spans="1:8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43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</row>
    <row r="114" spans="1:8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43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</row>
    <row r="115" spans="1:8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43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</row>
    <row r="116" spans="1:8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43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</row>
    <row r="117" spans="1:8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43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</row>
    <row r="118" spans="1:8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43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</row>
    <row r="119" spans="1:8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43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</row>
    <row r="120" spans="1:8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43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</row>
    <row r="121" spans="1:8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3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</row>
    <row r="122" spans="1:8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43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</row>
    <row r="123" spans="1:8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43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</row>
    <row r="124" spans="1:8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43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</row>
    <row r="125" spans="1:8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43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</row>
    <row r="126" spans="1:8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43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</row>
    <row r="127" spans="1:8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43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</row>
    <row r="128" spans="1:8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43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</row>
    <row r="129" spans="1:8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43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</row>
    <row r="130" spans="1:8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43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</row>
    <row r="131" spans="1:8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43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</row>
    <row r="132" spans="1:8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3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</row>
    <row r="133" spans="1:8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43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</row>
    <row r="134" spans="1:8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43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</row>
    <row r="135" spans="1:8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43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</row>
    <row r="136" spans="1:8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43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</row>
    <row r="137" spans="1:8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43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</row>
    <row r="138" spans="1:8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43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</row>
    <row r="139" spans="1:8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43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</row>
  </sheetData>
  <sheetProtection algorithmName="SHA-512" hashValue="qhIWO5wkmDsTaZ8xpPI4Kc8GBmIqsDIZIC4HymLTP533XtipZiLcCTYT9ST6qQKiLBo6/RuVwweS7c1oJJz0qA==" saltValue="e9oHdO63Vkcd7PDX297+ng==" spinCount="100000" sheet="1" objects="1" scenarios="1"/>
  <mergeCells count="61">
    <mergeCell ref="Q2:V2"/>
    <mergeCell ref="E10:F10"/>
    <mergeCell ref="L9:M9"/>
    <mergeCell ref="E9:F9"/>
    <mergeCell ref="E11:F11"/>
    <mergeCell ref="E4:F4"/>
    <mergeCell ref="R7:S7"/>
    <mergeCell ref="T7:U7"/>
    <mergeCell ref="Q4:V5"/>
    <mergeCell ref="L13:M13"/>
    <mergeCell ref="N13:O13"/>
    <mergeCell ref="B12:F12"/>
    <mergeCell ref="E5:F5"/>
    <mergeCell ref="H2:O2"/>
    <mergeCell ref="E6:F6"/>
    <mergeCell ref="E7:F7"/>
    <mergeCell ref="E8:F8"/>
    <mergeCell ref="N6:O6"/>
    <mergeCell ref="L6:M6"/>
    <mergeCell ref="L7:M7"/>
    <mergeCell ref="L8:M8"/>
    <mergeCell ref="B2:F2"/>
    <mergeCell ref="L3:M3"/>
    <mergeCell ref="N3:O3"/>
    <mergeCell ref="E3:F3"/>
    <mergeCell ref="L11:M11"/>
    <mergeCell ref="L12:M12"/>
    <mergeCell ref="N7:O7"/>
    <mergeCell ref="N8:O8"/>
    <mergeCell ref="N9:O9"/>
    <mergeCell ref="N11:O11"/>
    <mergeCell ref="N12:O12"/>
    <mergeCell ref="N24:O24"/>
    <mergeCell ref="N25:O25"/>
    <mergeCell ref="L24:M24"/>
    <mergeCell ref="L25:M25"/>
    <mergeCell ref="L14:M14"/>
    <mergeCell ref="L15:M15"/>
    <mergeCell ref="L20:M20"/>
    <mergeCell ref="N20:O20"/>
    <mergeCell ref="L23:M23"/>
    <mergeCell ref="N23:O23"/>
    <mergeCell ref="N14:O14"/>
    <mergeCell ref="N15:O15"/>
    <mergeCell ref="N28:O28"/>
    <mergeCell ref="N27:O27"/>
    <mergeCell ref="L26:M26"/>
    <mergeCell ref="L27:M27"/>
    <mergeCell ref="L28:M28"/>
    <mergeCell ref="N26:O26"/>
    <mergeCell ref="L34:M34"/>
    <mergeCell ref="N34:O34"/>
    <mergeCell ref="L32:M32"/>
    <mergeCell ref="L29:M29"/>
    <mergeCell ref="N29:O29"/>
    <mergeCell ref="N32:O32"/>
    <mergeCell ref="I44:K44"/>
    <mergeCell ref="L44:M44"/>
    <mergeCell ref="N44:O44"/>
    <mergeCell ref="L35:M35"/>
    <mergeCell ref="N35:O35"/>
  </mergeCells>
  <conditionalFormatting sqref="E7:F7">
    <cfRule type="expression" dxfId="5" priority="4">
      <formula>IF(E5="Summer Session",1,0)</formula>
    </cfRule>
    <cfRule type="expression" dxfId="4" priority="6">
      <formula>IF(E6="GA/Student",1,0)</formula>
    </cfRule>
  </conditionalFormatting>
  <conditionalFormatting sqref="E8:F8">
    <cfRule type="expression" dxfId="3" priority="3">
      <formula>IF(E5="Summer Session",1,0)</formula>
    </cfRule>
    <cfRule type="expression" dxfId="2" priority="5">
      <formula>IF(E6="GA/Student",1,0)</formula>
    </cfRule>
  </conditionalFormatting>
  <conditionalFormatting sqref="E4:F4">
    <cfRule type="expression" dxfId="1" priority="2">
      <formula>IF(E5="Summer Session",1,0)</formula>
    </cfRule>
  </conditionalFormatting>
  <conditionalFormatting sqref="E11:F11">
    <cfRule type="expression" dxfId="0" priority="1">
      <formula>IF(E5="Summer Session",1,0)</formula>
    </cfRule>
  </conditionalFormatting>
  <dataValidations count="4">
    <dataValidation type="list" allowBlank="1" showInputMessage="1" showErrorMessage="1" sqref="E8">
      <formula1>Insurance</formula1>
    </dataValidation>
    <dataValidation type="list" allowBlank="1" showInputMessage="1" showErrorMessage="1" sqref="E7">
      <formula1>Employee</formula1>
    </dataValidation>
    <dataValidation type="list" allowBlank="1" showInputMessage="1" showErrorMessage="1" sqref="E6">
      <formula1>Position</formula1>
    </dataValidation>
    <dataValidation type="list" allowBlank="1" showInputMessage="1" showErrorMessage="1" sqref="E5:F5">
      <formula1>Appointment</formula1>
    </dataValidation>
  </dataValidations>
  <printOptions horizontalCentered="1"/>
  <pageMargins left="0.7" right="0.7" top="0.75" bottom="0.75" header="0.3" footer="0.3"/>
  <pageSetup scale="74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4"/>
  <sheetViews>
    <sheetView topLeftCell="E1" workbookViewId="0">
      <pane xSplit="1" ySplit="5" topLeftCell="F6" activePane="bottomRight" state="frozen"/>
      <selection activeCell="E1" sqref="E1"/>
      <selection pane="topRight" activeCell="F1" sqref="F1"/>
      <selection pane="bottomLeft" activeCell="E6" sqref="E6"/>
      <selection pane="bottomRight" activeCell="R4" sqref="R4"/>
    </sheetView>
  </sheetViews>
  <sheetFormatPr defaultRowHeight="15" x14ac:dyDescent="0.25"/>
  <cols>
    <col min="1" max="1" width="15.42578125" style="4" customWidth="1"/>
    <col min="2" max="2" width="20" style="4" customWidth="1"/>
    <col min="3" max="3" width="16.140625" style="4" customWidth="1"/>
    <col min="4" max="4" width="27" style="4" customWidth="1"/>
    <col min="5" max="5" width="9.140625" style="4"/>
    <col min="6" max="6" width="11.5703125" style="6" customWidth="1"/>
    <col min="7" max="7" width="2.28515625" style="6" customWidth="1"/>
    <col min="8" max="9" width="10" style="6" customWidth="1"/>
    <col min="10" max="10" width="7.42578125" style="6" customWidth="1"/>
    <col min="11" max="11" width="7.85546875" style="6" customWidth="1"/>
    <col min="12" max="12" width="8.85546875" style="6" customWidth="1"/>
    <col min="13" max="13" width="9.85546875" style="6" customWidth="1"/>
    <col min="14" max="14" width="8.5703125" style="4" customWidth="1"/>
    <col min="15" max="15" width="2" style="4" customWidth="1"/>
    <col min="16" max="17" width="8.7109375" style="4" customWidth="1"/>
    <col min="18" max="19" width="10" style="4" customWidth="1"/>
    <col min="20" max="20" width="13.7109375" style="4" customWidth="1"/>
    <col min="21" max="21" width="11" style="4" customWidth="1"/>
    <col min="22" max="24" width="13.140625" style="4" customWidth="1"/>
    <col min="25" max="25" width="7.42578125" style="4" customWidth="1"/>
    <col min="26" max="26" width="12.5703125" style="4" customWidth="1"/>
    <col min="27" max="28" width="12.85546875" style="4" customWidth="1"/>
    <col min="29" max="29" width="7.42578125" style="4" customWidth="1"/>
    <col min="30" max="30" width="11.42578125" style="4" customWidth="1"/>
    <col min="31" max="31" width="13.42578125" style="4" customWidth="1"/>
    <col min="32" max="32" width="13.140625" style="4" customWidth="1"/>
    <col min="33" max="33" width="12.140625" style="4" customWidth="1"/>
    <col min="34" max="16384" width="9.140625" style="4"/>
  </cols>
  <sheetData>
    <row r="1" spans="1:33" x14ac:dyDescent="0.25">
      <c r="F1" s="10" t="s">
        <v>82</v>
      </c>
      <c r="H1" s="25" t="str">
        <f>IF(Calculator!E11="","12/12/9999",Calculator!E11)</f>
        <v>12/12/9999</v>
      </c>
      <c r="I1" s="12">
        <f>DATEVALUE(TEXT(H1,"mm/dd/yyyy"))</f>
        <v>2958446</v>
      </c>
    </row>
    <row r="2" spans="1:33" x14ac:dyDescent="0.25">
      <c r="F2" s="10" t="s">
        <v>46</v>
      </c>
      <c r="H2" s="25">
        <f>Calculator!E4</f>
        <v>44388</v>
      </c>
      <c r="I2" s="12">
        <f>DATEVALUE(TEXT(H2,"mm/dd/yyyy"))</f>
        <v>44388</v>
      </c>
      <c r="J2" s="23"/>
      <c r="K2" s="4"/>
      <c r="L2" s="4"/>
      <c r="M2" s="4"/>
      <c r="R2" s="4">
        <f>P46-I4</f>
        <v>-16</v>
      </c>
    </row>
    <row r="3" spans="1:33" x14ac:dyDescent="0.25">
      <c r="F3" s="10" t="s">
        <v>57</v>
      </c>
      <c r="H3" s="25">
        <f>Calculator!E9</f>
        <v>44416</v>
      </c>
      <c r="I3" s="12">
        <f>DATEVALUE(TEXT(H3,"mm/dd/yyyy"))</f>
        <v>44416</v>
      </c>
      <c r="J3" s="12" t="str">
        <f>YEAR($I$3)&amp;" "&amp;MONTH($I$3)</f>
        <v>2021 8</v>
      </c>
      <c r="K3" s="26"/>
      <c r="L3" s="26"/>
      <c r="M3" s="26"/>
      <c r="Y3" s="26"/>
    </row>
    <row r="4" spans="1:33" x14ac:dyDescent="0.25">
      <c r="F4" s="10" t="s">
        <v>58</v>
      </c>
      <c r="H4" s="25">
        <f>Calculator!E10</f>
        <v>44753</v>
      </c>
      <c r="I4" s="12">
        <f>DATEVALUE(TEXT(H4,"mm/dd/yyyy"))</f>
        <v>44753</v>
      </c>
      <c r="J4" s="4"/>
      <c r="K4" s="4"/>
      <c r="L4" s="4"/>
      <c r="M4" s="4"/>
      <c r="Y4" s="26"/>
    </row>
    <row r="5" spans="1:33" x14ac:dyDescent="0.25">
      <c r="F5" s="83" t="s">
        <v>75</v>
      </c>
      <c r="H5" s="25" t="str">
        <f>Calculator!E6&amp;Calculator!E7</f>
        <v>UnclassifiedNew</v>
      </c>
      <c r="I5" s="12"/>
      <c r="J5" s="4"/>
      <c r="K5" s="97" t="s">
        <v>109</v>
      </c>
      <c r="L5" s="4"/>
      <c r="M5" s="4"/>
      <c r="Y5" s="26" t="str">
        <f t="shared" ref="Y5" si="0">IF(MONTH(I5)=$J$3,"Start",IF(Q5&gt;=$I$3,"FALSE",""))</f>
        <v/>
      </c>
    </row>
    <row r="6" spans="1:33" x14ac:dyDescent="0.25">
      <c r="F6" s="10"/>
      <c r="H6" s="11"/>
      <c r="I6" s="4"/>
      <c r="J6" s="4"/>
      <c r="K6" s="4"/>
      <c r="L6" s="4"/>
      <c r="M6" s="4"/>
    </row>
    <row r="7" spans="1:33" ht="21" x14ac:dyDescent="0.35">
      <c r="A7" s="202" t="s">
        <v>27</v>
      </c>
      <c r="B7" s="202"/>
      <c r="C7" s="202"/>
      <c r="D7" s="202"/>
      <c r="F7" s="205" t="str">
        <f>Calculator!E13</f>
        <v>FY 2022</v>
      </c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</row>
    <row r="8" spans="1:33" x14ac:dyDescent="0.25">
      <c r="B8" s="75"/>
      <c r="C8" s="75"/>
      <c r="D8" s="75"/>
      <c r="F8" s="200" t="s">
        <v>79</v>
      </c>
      <c r="G8" s="200"/>
      <c r="H8" s="200"/>
      <c r="I8" s="200"/>
      <c r="J8" s="200"/>
      <c r="K8" s="200"/>
      <c r="L8" s="200"/>
      <c r="M8" s="200"/>
      <c r="N8" s="94"/>
      <c r="O8" s="84"/>
      <c r="P8" s="84"/>
      <c r="Q8" s="84"/>
      <c r="R8" s="84"/>
      <c r="S8" s="84"/>
      <c r="T8" s="84"/>
      <c r="U8" s="84"/>
      <c r="V8" s="199" t="s">
        <v>55</v>
      </c>
      <c r="W8" s="200"/>
      <c r="X8" s="201"/>
      <c r="Y8" s="199" t="s">
        <v>56</v>
      </c>
      <c r="Z8" s="200"/>
      <c r="AA8" s="200"/>
      <c r="AB8" s="201"/>
      <c r="AC8" s="203" t="s">
        <v>22</v>
      </c>
      <c r="AD8" s="204"/>
      <c r="AE8" s="204"/>
      <c r="AF8" s="204"/>
      <c r="AG8" s="204"/>
    </row>
    <row r="9" spans="1:33" x14ac:dyDescent="0.25">
      <c r="F9" s="207" t="s">
        <v>44</v>
      </c>
      <c r="G9" s="207"/>
      <c r="H9" s="207"/>
      <c r="I9" s="207"/>
      <c r="J9" s="2" t="s">
        <v>43</v>
      </c>
      <c r="K9" s="3" t="s">
        <v>56</v>
      </c>
      <c r="L9" s="72" t="s">
        <v>64</v>
      </c>
      <c r="M9" s="72" t="s">
        <v>65</v>
      </c>
      <c r="N9" s="203" t="s">
        <v>45</v>
      </c>
      <c r="O9" s="204"/>
      <c r="P9" s="204"/>
      <c r="Q9" s="2"/>
      <c r="R9" s="2" t="s">
        <v>49</v>
      </c>
      <c r="S9" s="72" t="s">
        <v>83</v>
      </c>
      <c r="T9" s="2" t="s">
        <v>53</v>
      </c>
      <c r="U9" s="2" t="s">
        <v>52</v>
      </c>
      <c r="V9" s="73" t="s">
        <v>68</v>
      </c>
      <c r="W9" s="74" t="s">
        <v>69</v>
      </c>
      <c r="X9" s="81" t="s">
        <v>70</v>
      </c>
      <c r="Y9" s="29" t="s">
        <v>49</v>
      </c>
      <c r="Z9" s="74" t="s">
        <v>76</v>
      </c>
      <c r="AA9" s="74" t="s">
        <v>77</v>
      </c>
      <c r="AB9" s="74" t="s">
        <v>78</v>
      </c>
      <c r="AC9" s="29" t="s">
        <v>49</v>
      </c>
      <c r="AD9" s="3" t="s">
        <v>52</v>
      </c>
      <c r="AE9" s="5" t="s">
        <v>72</v>
      </c>
      <c r="AF9" s="71" t="s">
        <v>73</v>
      </c>
      <c r="AG9" s="71" t="s">
        <v>74</v>
      </c>
    </row>
    <row r="10" spans="1:33" x14ac:dyDescent="0.25">
      <c r="A10" s="1" t="s">
        <v>63</v>
      </c>
      <c r="B10" s="1" t="s">
        <v>32</v>
      </c>
      <c r="C10" s="1" t="s">
        <v>29</v>
      </c>
      <c r="D10" s="1" t="s">
        <v>33</v>
      </c>
      <c r="F10" s="16" t="s">
        <v>40</v>
      </c>
      <c r="G10" s="17"/>
      <c r="H10" s="16" t="s">
        <v>41</v>
      </c>
      <c r="I10" s="16" t="s">
        <v>48</v>
      </c>
      <c r="J10" s="16" t="s">
        <v>47</v>
      </c>
      <c r="K10" s="16" t="s">
        <v>61</v>
      </c>
      <c r="L10" s="16" t="s">
        <v>66</v>
      </c>
      <c r="M10" s="16" t="s">
        <v>66</v>
      </c>
      <c r="N10" s="24" t="s">
        <v>40</v>
      </c>
      <c r="O10" s="17"/>
      <c r="P10" s="16" t="s">
        <v>41</v>
      </c>
      <c r="Q10" s="16" t="s">
        <v>48</v>
      </c>
      <c r="R10" s="16" t="s">
        <v>50</v>
      </c>
      <c r="S10" s="16" t="s">
        <v>50</v>
      </c>
      <c r="T10" s="16" t="s">
        <v>54</v>
      </c>
      <c r="U10" s="16" t="s">
        <v>51</v>
      </c>
      <c r="V10" s="24" t="s">
        <v>67</v>
      </c>
      <c r="W10" s="16" t="s">
        <v>67</v>
      </c>
      <c r="X10" s="70" t="s">
        <v>67</v>
      </c>
      <c r="Y10" s="24" t="s">
        <v>50</v>
      </c>
      <c r="Z10" s="16" t="s">
        <v>67</v>
      </c>
      <c r="AA10" s="16" t="s">
        <v>67</v>
      </c>
      <c r="AB10" s="16" t="s">
        <v>67</v>
      </c>
      <c r="AC10" s="24" t="s">
        <v>50</v>
      </c>
      <c r="AD10" s="16" t="s">
        <v>51</v>
      </c>
      <c r="AE10" s="16" t="s">
        <v>67</v>
      </c>
      <c r="AF10" s="16" t="s">
        <v>67</v>
      </c>
      <c r="AG10" s="16" t="s">
        <v>67</v>
      </c>
    </row>
    <row r="11" spans="1:33" x14ac:dyDescent="0.25">
      <c r="A11" s="4">
        <v>12</v>
      </c>
      <c r="B11" s="4" t="s">
        <v>1</v>
      </c>
      <c r="C11" s="4" t="s">
        <v>30</v>
      </c>
      <c r="D11" s="4" t="s">
        <v>13</v>
      </c>
      <c r="F11" s="13">
        <f>Calculator!S8</f>
        <v>44360</v>
      </c>
      <c r="G11" s="7" t="s">
        <v>42</v>
      </c>
      <c r="H11" s="13">
        <f>F11+13</f>
        <v>44373</v>
      </c>
      <c r="I11" s="144">
        <v>44386</v>
      </c>
      <c r="J11" s="103">
        <v>1</v>
      </c>
      <c r="K11" s="8" t="s">
        <v>56</v>
      </c>
      <c r="L11" s="8"/>
      <c r="M11" s="8"/>
      <c r="N11" s="80">
        <f>DATEVALUE(TEXT(F11,"mm/dd/yyyy"))</f>
        <v>44360</v>
      </c>
      <c r="O11" s="13" t="s">
        <v>42</v>
      </c>
      <c r="P11" s="19">
        <f>DATEVALUE(TEXT(H11,"mm/dd/yyyy"))</f>
        <v>44373</v>
      </c>
      <c r="Q11" s="12">
        <f>DATEVALUE(TEXT(I11,"mm/dd/yyyy"))</f>
        <v>44386</v>
      </c>
      <c r="R11" s="15" t="str">
        <f t="shared" ref="R11:R36" si="1">IF($I$2&gt;=N11,IF($I$2&lt;=P11,"Start",""))</f>
        <v/>
      </c>
      <c r="S11" s="15" t="str">
        <f>IF(Calculator!$E$11="","",IF($I$1&gt;=N11,IF($I$1&lt;=P11,"End","")))</f>
        <v/>
      </c>
      <c r="T11" s="12">
        <f t="shared" ref="T11:T18" si="2">(P11-N11)+1</f>
        <v>14</v>
      </c>
      <c r="U11" s="12">
        <f t="shared" ref="U11:U36" si="3">IF(S11=FALSE,0,IF(S11="End",($I$1-N11)+1,IF(R11=FALSE,T11,IF(R11="Start",(P11-$I$2)+1,0))))</f>
        <v>0</v>
      </c>
      <c r="V11" s="85">
        <f>(Calculator!$E$15/Data!$T$38)*Data!U11</f>
        <v>0</v>
      </c>
      <c r="W11" s="86">
        <f>IF(M11=10,(Calculator!$E$15/Data!$T$39)*Data!U11,0)</f>
        <v>0</v>
      </c>
      <c r="X11" s="87">
        <f>IF(L11=9,(Calculator!$E$15/Data!$T$40)*Data!U11,0)</f>
        <v>0</v>
      </c>
      <c r="Y11" s="78" t="str">
        <f>IF(Calculator!$E$7="Current",R11,IF(YEAR(I11)&amp;" "&amp;MONTH(I11)=$J$3,"Start",IF(I11&gt;$H$3,FALSE,"")))</f>
        <v/>
      </c>
      <c r="Z11" s="91" t="str">
        <f>IF(S11=FALSE,0,IF(K11="Health",IF(Y11="Start",Calculator!$E$24/24,IF(Y11=FALSE,Calculator!$E$24/24,""))))</f>
        <v/>
      </c>
      <c r="AA11" s="91" t="str">
        <f t="shared" ref="AA11:AB11" si="4">Z11</f>
        <v/>
      </c>
      <c r="AB11" s="91" t="str">
        <f t="shared" si="4"/>
        <v/>
      </c>
      <c r="AC11" s="78" t="str">
        <f t="shared" ref="AC11:AC36" si="5">IF($I$4&gt;=N11,IF($I$4&lt;=P11,"Start",""))</f>
        <v/>
      </c>
      <c r="AD11" s="12">
        <f>IF(S11=FALSE,0,IF(Data!$I$4&gt;Data!$I$1,0,IF(S11="End",($I$1-N11)+1,IF(AC11=FALSE,T11,IF(AC11="Start",(P11-$I$4)+1,0)))))</f>
        <v>0</v>
      </c>
      <c r="AE11" s="21">
        <f>(Calculator!$E$23/Data!$T$38)*Data!AD11</f>
        <v>0</v>
      </c>
      <c r="AF11" s="21">
        <f>IF(M11=10,(Calculator!$E$23/Data!$T$39)*Data!AD11,0)</f>
        <v>0</v>
      </c>
      <c r="AG11" s="21">
        <f>IF(L11=9,(Calculator!$E$23/Data!$T$40)*Data!AD11,0)</f>
        <v>0</v>
      </c>
    </row>
    <row r="12" spans="1:33" x14ac:dyDescent="0.25">
      <c r="A12" s="4">
        <v>10</v>
      </c>
      <c r="B12" s="4" t="s">
        <v>2</v>
      </c>
      <c r="C12" s="4" t="s">
        <v>31</v>
      </c>
      <c r="D12" s="4" t="s">
        <v>14</v>
      </c>
      <c r="F12" s="13">
        <f>F11+14</f>
        <v>44374</v>
      </c>
      <c r="G12" s="9" t="s">
        <v>42</v>
      </c>
      <c r="H12" s="13">
        <f t="shared" ref="H12:H36" si="6">F12+13</f>
        <v>44387</v>
      </c>
      <c r="I12" s="144">
        <v>44400</v>
      </c>
      <c r="J12" s="103">
        <v>2</v>
      </c>
      <c r="K12" s="8" t="s">
        <v>56</v>
      </c>
      <c r="L12" s="8"/>
      <c r="M12" s="8"/>
      <c r="N12" s="80">
        <f t="shared" ref="N12:N36" si="7">DATEVALUE(TEXT(F12,"mm/dd/yyyy"))</f>
        <v>44374</v>
      </c>
      <c r="O12" s="14" t="s">
        <v>42</v>
      </c>
      <c r="P12" s="19">
        <f t="shared" ref="P12:P36" si="8">DATEVALUE(TEXT(H12,"mm/dd/yyyy"))</f>
        <v>44387</v>
      </c>
      <c r="Q12" s="12">
        <f t="shared" ref="Q12:Q36" si="9">DATEVALUE(TEXT(I12,"mm/dd/yyyy"))</f>
        <v>44400</v>
      </c>
      <c r="R12" s="15" t="str">
        <f t="shared" si="1"/>
        <v/>
      </c>
      <c r="S12" s="15" t="str">
        <f>IF(Calculator!$E$11="","",IF($I$1&gt;=N12,IF($I$1&lt;=P12,"End","")))</f>
        <v/>
      </c>
      <c r="T12" s="12">
        <f t="shared" si="2"/>
        <v>14</v>
      </c>
      <c r="U12" s="12">
        <f t="shared" si="3"/>
        <v>0</v>
      </c>
      <c r="V12" s="85">
        <f>(Calculator!$E$15/Data!$T$38)*Data!U12</f>
        <v>0</v>
      </c>
      <c r="W12" s="86">
        <f>IF(M12=10,(Calculator!$E$15/Data!$T$39)*Data!U12,0)</f>
        <v>0</v>
      </c>
      <c r="X12" s="87">
        <f>IF(L12=9,(Calculator!$E$15/Data!$T$40)*Data!U12,0)</f>
        <v>0</v>
      </c>
      <c r="Y12" s="78" t="str">
        <f>IF(Calculator!$E$7="Current",R12,IF(YEAR(I12)&amp;" "&amp;MONTH(I12)=$J$3,"Start",IF(I12&gt;$H$3,FALSE,"")))</f>
        <v/>
      </c>
      <c r="Z12" s="91" t="str">
        <f>IF(S12=FALSE,0,IF(K12="Health",IF(Y12="Start",Calculator!$E$24/24,IF(Y12=FALSE,Calculator!$E$24/24,""))))</f>
        <v/>
      </c>
      <c r="AA12" s="91" t="str">
        <f t="shared" ref="AA12:AB12" si="10">Z12</f>
        <v/>
      </c>
      <c r="AB12" s="91" t="str">
        <f t="shared" si="10"/>
        <v/>
      </c>
      <c r="AC12" s="78" t="str">
        <f t="shared" si="5"/>
        <v/>
      </c>
      <c r="AD12" s="12">
        <f>IF(S12=FALSE,0,IF(Data!$I$4&gt;Data!$I$1,0,IF(S12="End",($I$1-N12)+1,IF(AC12=FALSE,T12,IF(AC12="Start",(P12-$I$4)+1,0)))))</f>
        <v>0</v>
      </c>
      <c r="AE12" s="21">
        <f>(Calculator!$E$23/Data!$T$38)*Data!AD12</f>
        <v>0</v>
      </c>
      <c r="AF12" s="21">
        <f>IF(M12=10,(Calculator!$E$23/Data!$T$39)*Data!AD12,0)</f>
        <v>0</v>
      </c>
      <c r="AG12" s="21">
        <f>IF(L12=9,(Calculator!$E$23/Data!$T$40)*Data!AD12,0)</f>
        <v>0</v>
      </c>
    </row>
    <row r="13" spans="1:33" x14ac:dyDescent="0.25">
      <c r="A13" s="4">
        <v>9</v>
      </c>
      <c r="B13" s="4" t="s">
        <v>28</v>
      </c>
      <c r="D13" s="4" t="s">
        <v>11</v>
      </c>
      <c r="F13" s="13">
        <f t="shared" ref="F13:F36" si="11">F12+14</f>
        <v>44388</v>
      </c>
      <c r="G13" s="9" t="s">
        <v>42</v>
      </c>
      <c r="H13" s="13">
        <f t="shared" si="6"/>
        <v>44401</v>
      </c>
      <c r="I13" s="144">
        <v>44414</v>
      </c>
      <c r="J13" s="103">
        <v>3</v>
      </c>
      <c r="K13" s="8" t="s">
        <v>56</v>
      </c>
      <c r="L13" s="8"/>
      <c r="M13" s="8"/>
      <c r="N13" s="80">
        <f t="shared" si="7"/>
        <v>44388</v>
      </c>
      <c r="O13" s="14" t="s">
        <v>42</v>
      </c>
      <c r="P13" s="19">
        <f t="shared" si="8"/>
        <v>44401</v>
      </c>
      <c r="Q13" s="12">
        <f t="shared" si="9"/>
        <v>44414</v>
      </c>
      <c r="R13" s="15" t="str">
        <f t="shared" si="1"/>
        <v>Start</v>
      </c>
      <c r="S13" s="15" t="str">
        <f>IF(Calculator!$E$11="","",IF($I$1&gt;=N13,IF($I$1&lt;=P13,"End","")))</f>
        <v/>
      </c>
      <c r="T13" s="12">
        <f t="shared" si="2"/>
        <v>14</v>
      </c>
      <c r="U13" s="12">
        <f t="shared" si="3"/>
        <v>14</v>
      </c>
      <c r="V13" s="85">
        <f>(Calculator!$E$15/Data!$T$38)*Data!U13</f>
        <v>3461.5384615384614</v>
      </c>
      <c r="W13" s="86">
        <f>IF(M13=10,(Calculator!$E$15/Data!$T$39)*Data!U13,0)</f>
        <v>0</v>
      </c>
      <c r="X13" s="87">
        <f>IF(L13=9,(Calculator!$E$15/Data!$T$40)*Data!U13,0)</f>
        <v>0</v>
      </c>
      <c r="Y13" s="78" t="str">
        <f>IF(Calculator!$E$7="Current",R13,IF(YEAR(I13)&amp;" "&amp;MONTH(I13)=$J$3,"Start",IF(I13&gt;$H$3,FALSE,"")))</f>
        <v>Start</v>
      </c>
      <c r="Z13" s="91">
        <f>IF(S13=FALSE,0,IF(K13="Health",IF(Y13="Start",Calculator!$E$24/24,IF(Y13=FALSE,Calculator!$E$24/24,""))))</f>
        <v>480.875</v>
      </c>
      <c r="AA13" s="91">
        <f t="shared" ref="AA13:AB13" si="12">Z13</f>
        <v>480.875</v>
      </c>
      <c r="AB13" s="91">
        <f t="shared" si="12"/>
        <v>480.875</v>
      </c>
      <c r="AC13" s="78" t="str">
        <f t="shared" si="5"/>
        <v/>
      </c>
      <c r="AD13" s="12">
        <f>IF(S13=FALSE,0,IF(Data!$I$4&gt;Data!$I$1,0,IF(S13="End",($I$1-N13)+1,IF(AC13=FALSE,T13,IF(AC13="Start",(P13-$I$4)+1,0)))))</f>
        <v>0</v>
      </c>
      <c r="AE13" s="21">
        <f>(Calculator!$E$23/Data!$T$38)*Data!AD13</f>
        <v>0</v>
      </c>
      <c r="AF13" s="21">
        <f>IF(M13=10,(Calculator!$E$23/Data!$T$39)*Data!AD13,0)</f>
        <v>0</v>
      </c>
      <c r="AG13" s="21">
        <f>IF(L13=9,(Calculator!$E$23/Data!$T$40)*Data!AD13,0)</f>
        <v>0</v>
      </c>
    </row>
    <row r="14" spans="1:33" x14ac:dyDescent="0.25">
      <c r="A14" s="4" t="s">
        <v>81</v>
      </c>
      <c r="B14" s="4" t="s">
        <v>60</v>
      </c>
      <c r="D14" s="4" t="s">
        <v>12</v>
      </c>
      <c r="F14" s="13">
        <f t="shared" si="11"/>
        <v>44402</v>
      </c>
      <c r="G14" s="9" t="s">
        <v>42</v>
      </c>
      <c r="H14" s="13">
        <f t="shared" si="6"/>
        <v>44415</v>
      </c>
      <c r="I14" s="144">
        <v>44428</v>
      </c>
      <c r="J14" s="103">
        <v>4</v>
      </c>
      <c r="K14" s="8" t="s">
        <v>56</v>
      </c>
      <c r="L14" s="8"/>
      <c r="M14" s="8"/>
      <c r="N14" s="80">
        <f t="shared" si="7"/>
        <v>44402</v>
      </c>
      <c r="O14" s="14" t="s">
        <v>42</v>
      </c>
      <c r="P14" s="19">
        <f t="shared" si="8"/>
        <v>44415</v>
      </c>
      <c r="Q14" s="12">
        <f t="shared" si="9"/>
        <v>44428</v>
      </c>
      <c r="R14" s="15" t="b">
        <f t="shared" si="1"/>
        <v>0</v>
      </c>
      <c r="S14" s="15" t="str">
        <f>IF(Calculator!$E$11="","",IF($I$1&gt;=N14,IF($I$1&lt;=P14,"End","")))</f>
        <v/>
      </c>
      <c r="T14" s="12">
        <f t="shared" si="2"/>
        <v>14</v>
      </c>
      <c r="U14" s="12">
        <f t="shared" si="3"/>
        <v>14</v>
      </c>
      <c r="V14" s="85">
        <f>(Calculator!$E$15/Data!$T$38)*Data!U14</f>
        <v>3461.5384615384614</v>
      </c>
      <c r="W14" s="86">
        <f>IF(M14=10,(Calculator!$E$15/Data!$T$39)*Data!U14,0)</f>
        <v>0</v>
      </c>
      <c r="X14" s="87">
        <f>IF(L14=9,(Calculator!$E$15/Data!$T$40)*Data!U14,0)</f>
        <v>0</v>
      </c>
      <c r="Y14" s="78" t="str">
        <f>IF(Calculator!$E$7="Current",R14,IF(YEAR(I14)&amp;" "&amp;MONTH(I14)=$J$3,"Start",IF(I14&gt;$H$3,FALSE,"")))</f>
        <v>Start</v>
      </c>
      <c r="Z14" s="91">
        <f>IF(S14=FALSE,0,IF(K14="Health",IF(Y14="Start",Calculator!$E$24/24,IF(Y14=FALSE,Calculator!$E$24/24,""))))</f>
        <v>480.875</v>
      </c>
      <c r="AA14" s="91">
        <f t="shared" ref="AA14:AB14" si="13">Z14</f>
        <v>480.875</v>
      </c>
      <c r="AB14" s="91">
        <f t="shared" si="13"/>
        <v>480.875</v>
      </c>
      <c r="AC14" s="78" t="str">
        <f t="shared" si="5"/>
        <v/>
      </c>
      <c r="AD14" s="12">
        <f>IF(S14=FALSE,0,IF(Data!$I$4&gt;Data!$I$1,0,IF(S14="End",($I$1-N14)+1,IF(AC14=FALSE,T14,IF(AC14="Start",(P14-$I$4)+1,0)))))</f>
        <v>0</v>
      </c>
      <c r="AE14" s="21">
        <f>(Calculator!$E$23/Data!$T$38)*Data!AD14</f>
        <v>0</v>
      </c>
      <c r="AF14" s="21">
        <f>IF(M14=10,(Calculator!$E$23/Data!$T$39)*Data!AD14,0)</f>
        <v>0</v>
      </c>
      <c r="AG14" s="21">
        <f>IF(L14=9,(Calculator!$E$23/Data!$T$40)*Data!AD14,0)</f>
        <v>0</v>
      </c>
    </row>
    <row r="15" spans="1:33" x14ac:dyDescent="0.25">
      <c r="D15" s="4" t="s">
        <v>15</v>
      </c>
      <c r="F15" s="13">
        <f t="shared" si="11"/>
        <v>44416</v>
      </c>
      <c r="G15" s="9" t="s">
        <v>42</v>
      </c>
      <c r="H15" s="13">
        <f t="shared" si="6"/>
        <v>44429</v>
      </c>
      <c r="I15" s="144">
        <v>44442</v>
      </c>
      <c r="J15" s="103">
        <v>5</v>
      </c>
      <c r="K15" s="8" t="s">
        <v>56</v>
      </c>
      <c r="L15" s="8">
        <v>9</v>
      </c>
      <c r="M15" s="8">
        <v>10</v>
      </c>
      <c r="N15" s="80">
        <f t="shared" si="7"/>
        <v>44416</v>
      </c>
      <c r="O15" s="14" t="s">
        <v>42</v>
      </c>
      <c r="P15" s="19">
        <f t="shared" si="8"/>
        <v>44429</v>
      </c>
      <c r="Q15" s="12">
        <f t="shared" si="9"/>
        <v>44442</v>
      </c>
      <c r="R15" s="15" t="b">
        <f t="shared" si="1"/>
        <v>0</v>
      </c>
      <c r="S15" s="15" t="str">
        <f>IF(Calculator!$E$11="","",IF($I$1&gt;=N15,IF($I$1&lt;=P15,"End","")))</f>
        <v/>
      </c>
      <c r="T15" s="12">
        <f t="shared" si="2"/>
        <v>14</v>
      </c>
      <c r="U15" s="12">
        <f t="shared" si="3"/>
        <v>14</v>
      </c>
      <c r="V15" s="85">
        <f>(Calculator!$E$15/Data!$T$38)*Data!U15</f>
        <v>3461.5384615384614</v>
      </c>
      <c r="W15" s="86">
        <f>IF(M15=10,(Calculator!$E$15/Data!$T$39)*Data!U15,0)</f>
        <v>4090.9090909090905</v>
      </c>
      <c r="X15" s="87">
        <f>IF(L15=9,(Calculator!$E$15/Data!$T$40)*Data!U15,0)</f>
        <v>4500</v>
      </c>
      <c r="Y15" s="78" t="b">
        <f>IF(Calculator!$E$7="Current",R15,IF(YEAR(I15)&amp;" "&amp;MONTH(I15)=$J$3,"Start",IF(I15&gt;$H$3,FALSE,"")))</f>
        <v>0</v>
      </c>
      <c r="Z15" s="91">
        <f>IF(S15=FALSE,0,IF(K15="Health",IF(Y15="Start",Calculator!$E$24/24,IF(Y15=FALSE,Calculator!$E$24/24,""))))</f>
        <v>480.875</v>
      </c>
      <c r="AA15" s="91">
        <f t="shared" ref="AA15:AB15" si="14">Z15</f>
        <v>480.875</v>
      </c>
      <c r="AB15" s="91">
        <f t="shared" si="14"/>
        <v>480.875</v>
      </c>
      <c r="AC15" s="78" t="str">
        <f t="shared" si="5"/>
        <v/>
      </c>
      <c r="AD15" s="12">
        <f>IF(S15=FALSE,0,IF(Data!$I$4&gt;Data!$I$1,0,IF(S15="End",($I$1-N15)+1,IF(AC15=FALSE,T15,IF(AC15="Start",(P15-$I$4)+1,0)))))</f>
        <v>0</v>
      </c>
      <c r="AE15" s="21">
        <f>(Calculator!$E$23/Data!$T$38)*Data!AD15</f>
        <v>0</v>
      </c>
      <c r="AF15" s="21">
        <f>IF(M15=10,(Calculator!$E$23/Data!$T$39)*Data!AD15,0)</f>
        <v>0</v>
      </c>
      <c r="AG15" s="21">
        <f>IF(L15=9,(Calculator!$E$23/Data!$T$40)*Data!AD15,0)</f>
        <v>0</v>
      </c>
    </row>
    <row r="16" spans="1:33" x14ac:dyDescent="0.25">
      <c r="D16" s="4" t="s">
        <v>16</v>
      </c>
      <c r="F16" s="13">
        <f t="shared" si="11"/>
        <v>44430</v>
      </c>
      <c r="G16" s="9" t="s">
        <v>42</v>
      </c>
      <c r="H16" s="13">
        <f t="shared" si="6"/>
        <v>44443</v>
      </c>
      <c r="I16" s="144">
        <v>44456</v>
      </c>
      <c r="J16" s="103">
        <v>6</v>
      </c>
      <c r="K16" s="8" t="s">
        <v>56</v>
      </c>
      <c r="L16" s="8">
        <v>9</v>
      </c>
      <c r="M16" s="8">
        <v>10</v>
      </c>
      <c r="N16" s="80">
        <f t="shared" si="7"/>
        <v>44430</v>
      </c>
      <c r="O16" s="14" t="s">
        <v>42</v>
      </c>
      <c r="P16" s="19">
        <f t="shared" si="8"/>
        <v>44443</v>
      </c>
      <c r="Q16" s="12">
        <f t="shared" si="9"/>
        <v>44456</v>
      </c>
      <c r="R16" s="15" t="b">
        <f t="shared" si="1"/>
        <v>0</v>
      </c>
      <c r="S16" s="15" t="str">
        <f>IF(Calculator!$E$11="","",IF($I$1&gt;=N16,IF($I$1&lt;=P16,"End","")))</f>
        <v/>
      </c>
      <c r="T16" s="12">
        <f t="shared" si="2"/>
        <v>14</v>
      </c>
      <c r="U16" s="12">
        <f t="shared" si="3"/>
        <v>14</v>
      </c>
      <c r="V16" s="85">
        <f>(Calculator!$E$15/Data!$T$38)*Data!U16</f>
        <v>3461.5384615384614</v>
      </c>
      <c r="W16" s="86">
        <f>IF(M16=10,(Calculator!$E$15/Data!$T$39)*Data!U16,0)</f>
        <v>4090.9090909090905</v>
      </c>
      <c r="X16" s="87">
        <f>IF(L16=9,(Calculator!$E$15/Data!$T$40)*Data!U16,0)</f>
        <v>4500</v>
      </c>
      <c r="Y16" s="78" t="b">
        <f>IF(Calculator!$E$7="Current",R16,IF(YEAR(I16)&amp;" "&amp;MONTH(I16)=$J$3,"Start",IF(I16&gt;$H$3,FALSE,"")))</f>
        <v>0</v>
      </c>
      <c r="Z16" s="91">
        <f>IF(S16=FALSE,0,IF(K16="Health",IF(Y16="Start",Calculator!$E$24/24,IF(Y16=FALSE,Calculator!$E$24/24,""))))</f>
        <v>480.875</v>
      </c>
      <c r="AA16" s="91">
        <f t="shared" ref="AA16:AB16" si="15">Z16</f>
        <v>480.875</v>
      </c>
      <c r="AB16" s="91">
        <f t="shared" si="15"/>
        <v>480.875</v>
      </c>
      <c r="AC16" s="78" t="str">
        <f t="shared" si="5"/>
        <v/>
      </c>
      <c r="AD16" s="12">
        <f>IF(S16=FALSE,0,IF(Data!$I$4&gt;Data!$I$1,0,IF(S16="End",($I$1-N16)+1,IF(AC16=FALSE,T16,IF(AC16="Start",(P16-$I$4)+1,0)))))</f>
        <v>0</v>
      </c>
      <c r="AE16" s="21">
        <f>(Calculator!$E$23/Data!$T$38)*Data!AD16</f>
        <v>0</v>
      </c>
      <c r="AF16" s="21">
        <f>IF(M16=10,(Calculator!$E$23/Data!$T$39)*Data!AD16,0)</f>
        <v>0</v>
      </c>
      <c r="AG16" s="21">
        <f>IF(L16=9,(Calculator!$E$23/Data!$T$40)*Data!AD16,0)</f>
        <v>0</v>
      </c>
    </row>
    <row r="17" spans="4:33" x14ac:dyDescent="0.25">
      <c r="D17" s="4" t="s">
        <v>36</v>
      </c>
      <c r="F17" s="13">
        <f t="shared" si="11"/>
        <v>44444</v>
      </c>
      <c r="G17" s="9" t="s">
        <v>42</v>
      </c>
      <c r="H17" s="13">
        <f t="shared" si="6"/>
        <v>44457</v>
      </c>
      <c r="I17" s="144">
        <v>44470</v>
      </c>
      <c r="J17" s="103">
        <v>7</v>
      </c>
      <c r="K17" s="8" t="s">
        <v>56</v>
      </c>
      <c r="L17" s="8">
        <v>9</v>
      </c>
      <c r="M17" s="8">
        <v>10</v>
      </c>
      <c r="N17" s="80">
        <f t="shared" si="7"/>
        <v>44444</v>
      </c>
      <c r="O17" s="14" t="s">
        <v>42</v>
      </c>
      <c r="P17" s="19">
        <f t="shared" si="8"/>
        <v>44457</v>
      </c>
      <c r="Q17" s="12">
        <f t="shared" si="9"/>
        <v>44470</v>
      </c>
      <c r="R17" s="15" t="b">
        <f t="shared" si="1"/>
        <v>0</v>
      </c>
      <c r="S17" s="15" t="str">
        <f>IF(Calculator!$E$11="","",IF($I$1&gt;=N17,IF($I$1&lt;=P17,"End","")))</f>
        <v/>
      </c>
      <c r="T17" s="12">
        <f t="shared" si="2"/>
        <v>14</v>
      </c>
      <c r="U17" s="12">
        <f t="shared" si="3"/>
        <v>14</v>
      </c>
      <c r="V17" s="85">
        <f>(Calculator!$E$15/Data!$T$38)*Data!U17</f>
        <v>3461.5384615384614</v>
      </c>
      <c r="W17" s="86">
        <f>IF(M17=10,(Calculator!$E$15/Data!$T$39)*Data!U17,0)</f>
        <v>4090.9090909090905</v>
      </c>
      <c r="X17" s="87">
        <f>IF(L17=9,(Calculator!$E$15/Data!$T$40)*Data!U17,0)</f>
        <v>4500</v>
      </c>
      <c r="Y17" s="78" t="b">
        <f>IF(Calculator!$E$7="Current",R17,IF(YEAR(I17)&amp;" "&amp;MONTH(I17)=$J$3,"Start",IF(I17&gt;$H$3,FALSE,"")))</f>
        <v>0</v>
      </c>
      <c r="Z17" s="91">
        <f>IF(S17=FALSE,0,IF(K17="Health",IF(Y17="Start",Calculator!$E$24/24,IF(Y17=FALSE,Calculator!$E$24/24,""))))</f>
        <v>480.875</v>
      </c>
      <c r="AA17" s="91">
        <f t="shared" ref="AA17:AB17" si="16">Z17</f>
        <v>480.875</v>
      </c>
      <c r="AB17" s="91">
        <f t="shared" si="16"/>
        <v>480.875</v>
      </c>
      <c r="AC17" s="78" t="str">
        <f t="shared" si="5"/>
        <v/>
      </c>
      <c r="AD17" s="12">
        <f>IF(S17=FALSE,0,IF(Data!$I$4&gt;Data!$I$1,0,IF(S17="End",($I$1-N17)+1,IF(AC17=FALSE,T17,IF(AC17="Start",(P17-$I$4)+1,0)))))</f>
        <v>0</v>
      </c>
      <c r="AE17" s="21">
        <f>(Calculator!$E$23/Data!$T$38)*Data!AD17</f>
        <v>0</v>
      </c>
      <c r="AF17" s="21">
        <f>IF(M17=10,(Calculator!$E$23/Data!$T$39)*Data!AD17,0)</f>
        <v>0</v>
      </c>
      <c r="AG17" s="21">
        <f>IF(L17=9,(Calculator!$E$23/Data!$T$40)*Data!AD17,0)</f>
        <v>0</v>
      </c>
    </row>
    <row r="18" spans="4:33" x14ac:dyDescent="0.25">
      <c r="F18" s="13">
        <f t="shared" si="11"/>
        <v>44458</v>
      </c>
      <c r="G18" s="9" t="s">
        <v>42</v>
      </c>
      <c r="H18" s="13">
        <f t="shared" si="6"/>
        <v>44471</v>
      </c>
      <c r="I18" s="144">
        <v>44484</v>
      </c>
      <c r="J18" s="103">
        <v>8</v>
      </c>
      <c r="K18" s="8" t="s">
        <v>56</v>
      </c>
      <c r="L18" s="8">
        <v>9</v>
      </c>
      <c r="M18" s="8">
        <v>10</v>
      </c>
      <c r="N18" s="80">
        <f t="shared" si="7"/>
        <v>44458</v>
      </c>
      <c r="O18" s="14" t="s">
        <v>42</v>
      </c>
      <c r="P18" s="19">
        <f t="shared" si="8"/>
        <v>44471</v>
      </c>
      <c r="Q18" s="12">
        <f t="shared" si="9"/>
        <v>44484</v>
      </c>
      <c r="R18" s="15" t="b">
        <f t="shared" si="1"/>
        <v>0</v>
      </c>
      <c r="S18" s="15" t="str">
        <f>IF(Calculator!$E$11="","",IF($I$1&gt;=N18,IF($I$1&lt;=P18,"End","")))</f>
        <v/>
      </c>
      <c r="T18" s="12">
        <f t="shared" si="2"/>
        <v>14</v>
      </c>
      <c r="U18" s="12">
        <f t="shared" si="3"/>
        <v>14</v>
      </c>
      <c r="V18" s="85">
        <f>(Calculator!$E$15/Data!$T$38)*Data!U18</f>
        <v>3461.5384615384614</v>
      </c>
      <c r="W18" s="86">
        <f>IF(M18=10,(Calculator!$E$15/Data!$T$39)*Data!U18,0)</f>
        <v>4090.9090909090905</v>
      </c>
      <c r="X18" s="87">
        <f>IF(L18=9,(Calculator!$E$15/Data!$T$40)*Data!U18,0)</f>
        <v>4500</v>
      </c>
      <c r="Y18" s="78" t="b">
        <f>IF(Calculator!$E$7="Current",R18,IF(YEAR(I18)&amp;" "&amp;MONTH(I18)=$J$3,"Start",IF(I18&gt;$H$3,FALSE,"")))</f>
        <v>0</v>
      </c>
      <c r="Z18" s="91">
        <f>IF(S18=FALSE,0,IF(K18="Health",IF(Y18="Start",Calculator!$E$24/24,IF(Y18=FALSE,Calculator!$E$24/24,""))))</f>
        <v>480.875</v>
      </c>
      <c r="AA18" s="91">
        <f t="shared" ref="AA18:AB18" si="17">Z18</f>
        <v>480.875</v>
      </c>
      <c r="AB18" s="91">
        <f t="shared" si="17"/>
        <v>480.875</v>
      </c>
      <c r="AC18" s="78" t="str">
        <f t="shared" si="5"/>
        <v/>
      </c>
      <c r="AD18" s="12">
        <f>IF(S18=FALSE,0,IF(Data!$I$4&gt;Data!$I$1,0,IF(S18="End",($I$1-N18)+1,IF(AC18=FALSE,T18,IF(AC18="Start",(P18-$I$4)+1,0)))))</f>
        <v>0</v>
      </c>
      <c r="AE18" s="21">
        <f>(Calculator!$E$23/Data!$T$38)*Data!AD18</f>
        <v>0</v>
      </c>
      <c r="AF18" s="21">
        <f>IF(M18=10,(Calculator!$E$23/Data!$T$39)*Data!AD18,0)</f>
        <v>0</v>
      </c>
      <c r="AG18" s="21">
        <f>IF(L18=9,(Calculator!$E$23/Data!$T$40)*Data!AD18,0)</f>
        <v>0</v>
      </c>
    </row>
    <row r="19" spans="4:33" x14ac:dyDescent="0.25">
      <c r="F19" s="13">
        <f t="shared" si="11"/>
        <v>44472</v>
      </c>
      <c r="G19" s="9" t="s">
        <v>42</v>
      </c>
      <c r="H19" s="13">
        <f t="shared" si="6"/>
        <v>44485</v>
      </c>
      <c r="I19" s="144">
        <v>44498</v>
      </c>
      <c r="J19" s="103">
        <v>9</v>
      </c>
      <c r="K19" s="8"/>
      <c r="L19" s="8">
        <v>9</v>
      </c>
      <c r="M19" s="8">
        <v>10</v>
      </c>
      <c r="N19" s="80">
        <f t="shared" si="7"/>
        <v>44472</v>
      </c>
      <c r="O19" s="14" t="s">
        <v>42</v>
      </c>
      <c r="P19" s="19">
        <f t="shared" si="8"/>
        <v>44485</v>
      </c>
      <c r="Q19" s="12">
        <f t="shared" si="9"/>
        <v>44498</v>
      </c>
      <c r="R19" s="15" t="b">
        <f t="shared" si="1"/>
        <v>0</v>
      </c>
      <c r="S19" s="15" t="str">
        <f>IF(Calculator!$E$11="","",IF($I$1&gt;=N19,IF($I$1&lt;=P19,"End","")))</f>
        <v/>
      </c>
      <c r="T19" s="12">
        <f>(P19-N19)+1</f>
        <v>14</v>
      </c>
      <c r="U19" s="12">
        <f t="shared" si="3"/>
        <v>14</v>
      </c>
      <c r="V19" s="85">
        <f>(Calculator!$E$15/Data!$T$38)*Data!U19</f>
        <v>3461.5384615384614</v>
      </c>
      <c r="W19" s="86">
        <f>IF(M19=10,(Calculator!$E$15/Data!$T$39)*Data!U19,0)</f>
        <v>4090.9090909090905</v>
      </c>
      <c r="X19" s="87">
        <f>IF(L19=9,(Calculator!$E$15/Data!$T$40)*Data!U19,0)</f>
        <v>4500</v>
      </c>
      <c r="Y19" s="78" t="b">
        <f>IF(Calculator!$E$7="Current",R19,IF(YEAR(I19)&amp;" "&amp;MONTH(I19)=$J$3,"Start",IF(I19&gt;$H$3,FALSE,"")))</f>
        <v>0</v>
      </c>
      <c r="Z19" s="91" t="b">
        <f>IF(S19=FALSE,0,IF(K19="Health",IF(Y19="Start",Calculator!$E$24/24,IF(Y19=FALSE,Calculator!$E$24/24,""))))</f>
        <v>0</v>
      </c>
      <c r="AA19" s="91" t="b">
        <f t="shared" ref="AA19:AB19" si="18">Z19</f>
        <v>0</v>
      </c>
      <c r="AB19" s="91" t="b">
        <f t="shared" si="18"/>
        <v>0</v>
      </c>
      <c r="AC19" s="78" t="str">
        <f t="shared" si="5"/>
        <v/>
      </c>
      <c r="AD19" s="12">
        <f>IF(S19=FALSE,0,IF(Data!$I$4&gt;Data!$I$1,0,IF(S19="End",($I$1-N19)+1,IF(AC19=FALSE,T19,IF(AC19="Start",(P19-$I$4)+1,0)))))</f>
        <v>0</v>
      </c>
      <c r="AE19" s="21">
        <f>(Calculator!$E$23/Data!$T$38)*Data!AD19</f>
        <v>0</v>
      </c>
      <c r="AF19" s="21">
        <f>IF(M19=10,(Calculator!$E$23/Data!$T$39)*Data!AD19,0)</f>
        <v>0</v>
      </c>
      <c r="AG19" s="21">
        <f>IF(L19=9,(Calculator!$E$23/Data!$T$40)*Data!AD19,0)</f>
        <v>0</v>
      </c>
    </row>
    <row r="20" spans="4:33" x14ac:dyDescent="0.25">
      <c r="F20" s="13">
        <f t="shared" si="11"/>
        <v>44486</v>
      </c>
      <c r="G20" s="9" t="s">
        <v>42</v>
      </c>
      <c r="H20" s="13">
        <f t="shared" si="6"/>
        <v>44499</v>
      </c>
      <c r="I20" s="144">
        <v>44512</v>
      </c>
      <c r="J20" s="103">
        <v>10</v>
      </c>
      <c r="K20" s="8" t="s">
        <v>56</v>
      </c>
      <c r="L20" s="8">
        <v>9</v>
      </c>
      <c r="M20" s="8">
        <v>10</v>
      </c>
      <c r="N20" s="80">
        <f t="shared" si="7"/>
        <v>44486</v>
      </c>
      <c r="O20" s="14" t="s">
        <v>42</v>
      </c>
      <c r="P20" s="19">
        <f t="shared" si="8"/>
        <v>44499</v>
      </c>
      <c r="Q20" s="12">
        <f t="shared" si="9"/>
        <v>44512</v>
      </c>
      <c r="R20" s="15" t="b">
        <f t="shared" si="1"/>
        <v>0</v>
      </c>
      <c r="S20" s="15" t="str">
        <f>IF(Calculator!$E$11="","",IF($I$1&gt;=N20,IF($I$1&lt;=P20,"End","")))</f>
        <v/>
      </c>
      <c r="T20" s="12">
        <f t="shared" ref="T20:T36" si="19">(P20-N20)+1</f>
        <v>14</v>
      </c>
      <c r="U20" s="12">
        <f t="shared" si="3"/>
        <v>14</v>
      </c>
      <c r="V20" s="85">
        <f>(Calculator!$E$15/Data!$T$38)*Data!U20</f>
        <v>3461.5384615384614</v>
      </c>
      <c r="W20" s="86">
        <f>IF(M20=10,(Calculator!$E$15/Data!$T$39)*Data!U20,0)</f>
        <v>4090.9090909090905</v>
      </c>
      <c r="X20" s="87">
        <f>IF(L20=9,(Calculator!$E$15/Data!$T$40)*Data!U20,0)</f>
        <v>4500</v>
      </c>
      <c r="Y20" s="78" t="b">
        <f>IF(Calculator!$E$7="Current",R20,IF(YEAR(I20)&amp;" "&amp;MONTH(I20)=$J$3,"Start",IF(I20&gt;$H$3,FALSE,"")))</f>
        <v>0</v>
      </c>
      <c r="Z20" s="91">
        <f>IF(S20=FALSE,0,IF(K20="Health",IF(Y20="Start",Calculator!$E$24/24,IF(Y20=FALSE,Calculator!$E$24/24,""))))</f>
        <v>480.875</v>
      </c>
      <c r="AA20" s="91">
        <f t="shared" ref="AA20:AB20" si="20">Z20</f>
        <v>480.875</v>
      </c>
      <c r="AB20" s="91">
        <f t="shared" si="20"/>
        <v>480.875</v>
      </c>
      <c r="AC20" s="78" t="str">
        <f t="shared" si="5"/>
        <v/>
      </c>
      <c r="AD20" s="12">
        <f>IF(S20=FALSE,0,IF(Data!$I$4&gt;Data!$I$1,0,IF(S20="End",($I$1-N20)+1,IF(AC20=FALSE,T20,IF(AC20="Start",(P20-$I$4)+1,0)))))</f>
        <v>0</v>
      </c>
      <c r="AE20" s="21">
        <f>(Calculator!$E$23/Data!$T$38)*Data!AD20</f>
        <v>0</v>
      </c>
      <c r="AF20" s="21">
        <f>IF(M20=10,(Calculator!$E$23/Data!$T$39)*Data!AD20,0)</f>
        <v>0</v>
      </c>
      <c r="AG20" s="21">
        <f>IF(L20=9,(Calculator!$E$23/Data!$T$40)*Data!AD20,0)</f>
        <v>0</v>
      </c>
    </row>
    <row r="21" spans="4:33" x14ac:dyDescent="0.25">
      <c r="F21" s="13">
        <f t="shared" si="11"/>
        <v>44500</v>
      </c>
      <c r="G21" s="9" t="s">
        <v>42</v>
      </c>
      <c r="H21" s="13">
        <f t="shared" si="6"/>
        <v>44513</v>
      </c>
      <c r="I21" s="144">
        <v>44526</v>
      </c>
      <c r="J21" s="103">
        <v>11</v>
      </c>
      <c r="K21" s="8" t="s">
        <v>56</v>
      </c>
      <c r="L21" s="8">
        <v>9</v>
      </c>
      <c r="M21" s="8">
        <v>10</v>
      </c>
      <c r="N21" s="80">
        <f t="shared" si="7"/>
        <v>44500</v>
      </c>
      <c r="O21" s="14"/>
      <c r="P21" s="19">
        <f t="shared" si="8"/>
        <v>44513</v>
      </c>
      <c r="Q21" s="12">
        <f t="shared" si="9"/>
        <v>44526</v>
      </c>
      <c r="R21" s="15" t="b">
        <f t="shared" si="1"/>
        <v>0</v>
      </c>
      <c r="S21" s="15" t="str">
        <f>IF(Calculator!$E$11="","",IF($I$1&gt;=N21,IF($I$1&lt;=P21,"End","")))</f>
        <v/>
      </c>
      <c r="T21" s="12">
        <f t="shared" si="19"/>
        <v>14</v>
      </c>
      <c r="U21" s="12">
        <f t="shared" si="3"/>
        <v>14</v>
      </c>
      <c r="V21" s="85">
        <f>(Calculator!$E$15/Data!$T$38)*Data!U21</f>
        <v>3461.5384615384614</v>
      </c>
      <c r="W21" s="86">
        <f>IF(M21=10,(Calculator!$E$15/Data!$T$39)*Data!U21,0)</f>
        <v>4090.9090909090905</v>
      </c>
      <c r="X21" s="87">
        <f>IF(L21=9,(Calculator!$E$15/Data!$T$40)*Data!U21,0)</f>
        <v>4500</v>
      </c>
      <c r="Y21" s="78" t="b">
        <f>IF(Calculator!$E$7="Current",R21,IF(YEAR(I21)&amp;" "&amp;MONTH(I21)=$J$3,"Start",IF(I21&gt;$H$3,FALSE,"")))</f>
        <v>0</v>
      </c>
      <c r="Z21" s="91">
        <f>IF(S21=FALSE,0,IF(K21="Health",IF(Y21="Start",Calculator!$E$24/24,IF(Y21=FALSE,Calculator!$E$24/24,""))))</f>
        <v>480.875</v>
      </c>
      <c r="AA21" s="91">
        <f t="shared" ref="AA21:AB21" si="21">Z21</f>
        <v>480.875</v>
      </c>
      <c r="AB21" s="91">
        <f t="shared" si="21"/>
        <v>480.875</v>
      </c>
      <c r="AC21" s="78" t="str">
        <f t="shared" si="5"/>
        <v/>
      </c>
      <c r="AD21" s="12">
        <f>IF(S21=FALSE,0,IF(Data!$I$4&gt;Data!$I$1,0,IF(S21="End",($I$1-N21)+1,IF(AC21=FALSE,T21,IF(AC21="Start",(P21-$I$4)+1,0)))))</f>
        <v>0</v>
      </c>
      <c r="AE21" s="21">
        <f>(Calculator!$E$23/Data!$T$38)*Data!AD21</f>
        <v>0</v>
      </c>
      <c r="AF21" s="21">
        <f>IF(M21=10,(Calculator!$E$23/Data!$T$39)*Data!AD21,0)</f>
        <v>0</v>
      </c>
      <c r="AG21" s="21">
        <f>IF(L21=9,(Calculator!$E$23/Data!$T$40)*Data!AD21,0)</f>
        <v>0</v>
      </c>
    </row>
    <row r="22" spans="4:33" x14ac:dyDescent="0.25">
      <c r="F22" s="13">
        <f t="shared" si="11"/>
        <v>44514</v>
      </c>
      <c r="G22" s="9" t="s">
        <v>42</v>
      </c>
      <c r="H22" s="13">
        <f t="shared" si="6"/>
        <v>44527</v>
      </c>
      <c r="I22" s="144">
        <v>44540</v>
      </c>
      <c r="J22" s="103">
        <v>12</v>
      </c>
      <c r="K22" s="8" t="s">
        <v>56</v>
      </c>
      <c r="L22" s="8">
        <v>9</v>
      </c>
      <c r="M22" s="8">
        <v>10</v>
      </c>
      <c r="N22" s="80">
        <f t="shared" si="7"/>
        <v>44514</v>
      </c>
      <c r="O22" s="14" t="s">
        <v>42</v>
      </c>
      <c r="P22" s="19">
        <f t="shared" si="8"/>
        <v>44527</v>
      </c>
      <c r="Q22" s="12">
        <f t="shared" si="9"/>
        <v>44540</v>
      </c>
      <c r="R22" s="15" t="b">
        <f t="shared" si="1"/>
        <v>0</v>
      </c>
      <c r="S22" s="15" t="str">
        <f>IF(Calculator!$E$11="","",IF($I$1&gt;=N22,IF($I$1&lt;=P22,"End","")))</f>
        <v/>
      </c>
      <c r="T22" s="12">
        <f t="shared" si="19"/>
        <v>14</v>
      </c>
      <c r="U22" s="12">
        <f t="shared" si="3"/>
        <v>14</v>
      </c>
      <c r="V22" s="85">
        <f>(Calculator!$E$15/Data!$T$38)*Data!U22</f>
        <v>3461.5384615384614</v>
      </c>
      <c r="W22" s="86">
        <f>IF(M22=10,(Calculator!$E$15/Data!$T$39)*Data!U22,0)</f>
        <v>4090.9090909090905</v>
      </c>
      <c r="X22" s="87">
        <f>IF(L22=9,(Calculator!$E$15/Data!$T$40)*Data!U22,0)</f>
        <v>4500</v>
      </c>
      <c r="Y22" s="78" t="b">
        <f>IF(Calculator!$E$7="Current",R22,IF(YEAR(I22)&amp;" "&amp;MONTH(I22)=$J$3,"Start",IF(I22&gt;$H$3,FALSE,"")))</f>
        <v>0</v>
      </c>
      <c r="Z22" s="91">
        <f>IF(S22=FALSE,0,IF(K22="Health",IF(Y22="Start",Calculator!$E$24/24,IF(Y22=FALSE,Calculator!$E$24/24,""))))</f>
        <v>480.875</v>
      </c>
      <c r="AA22" s="91">
        <f t="shared" ref="AA22:AB22" si="22">Z22</f>
        <v>480.875</v>
      </c>
      <c r="AB22" s="91">
        <f t="shared" si="22"/>
        <v>480.875</v>
      </c>
      <c r="AC22" s="78" t="str">
        <f t="shared" si="5"/>
        <v/>
      </c>
      <c r="AD22" s="12">
        <f>IF(S22=FALSE,0,IF(Data!$I$4&gt;Data!$I$1,0,IF(S22="End",($I$1-N22)+1,IF(AC22=FALSE,T22,IF(AC22="Start",(P22-$I$4)+1,0)))))</f>
        <v>0</v>
      </c>
      <c r="AE22" s="21">
        <f>(Calculator!$E$23/Data!$T$38)*Data!AD22</f>
        <v>0</v>
      </c>
      <c r="AF22" s="21">
        <f>IF(M22=10,(Calculator!$E$23/Data!$T$39)*Data!AD22,0)</f>
        <v>0</v>
      </c>
      <c r="AG22" s="21">
        <f>IF(L22=9,(Calculator!$E$23/Data!$T$40)*Data!AD22,0)</f>
        <v>0</v>
      </c>
    </row>
    <row r="23" spans="4:33" x14ac:dyDescent="0.25">
      <c r="F23" s="13">
        <f t="shared" si="11"/>
        <v>44528</v>
      </c>
      <c r="G23" s="9" t="s">
        <v>42</v>
      </c>
      <c r="H23" s="13">
        <f t="shared" si="6"/>
        <v>44541</v>
      </c>
      <c r="I23" s="144">
        <v>44554</v>
      </c>
      <c r="J23" s="103">
        <v>13</v>
      </c>
      <c r="K23" s="8" t="s">
        <v>56</v>
      </c>
      <c r="L23" s="8">
        <v>9</v>
      </c>
      <c r="M23" s="8">
        <v>10</v>
      </c>
      <c r="N23" s="80">
        <f t="shared" si="7"/>
        <v>44528</v>
      </c>
      <c r="O23" s="14" t="s">
        <v>42</v>
      </c>
      <c r="P23" s="19">
        <f t="shared" si="8"/>
        <v>44541</v>
      </c>
      <c r="Q23" s="12">
        <f t="shared" si="9"/>
        <v>44554</v>
      </c>
      <c r="R23" s="15" t="b">
        <f t="shared" si="1"/>
        <v>0</v>
      </c>
      <c r="S23" s="15" t="str">
        <f>IF(Calculator!$E$11="","",IF($I$1&gt;=N23,IF($I$1&lt;=P23,"End","")))</f>
        <v/>
      </c>
      <c r="T23" s="12">
        <f t="shared" si="19"/>
        <v>14</v>
      </c>
      <c r="U23" s="12">
        <f t="shared" si="3"/>
        <v>14</v>
      </c>
      <c r="V23" s="85">
        <f>(Calculator!$E$15/Data!$T$38)*Data!U23</f>
        <v>3461.5384615384614</v>
      </c>
      <c r="W23" s="86">
        <f>IF(M23=10,(Calculator!$E$15/Data!$T$39)*Data!U23,0)</f>
        <v>4090.9090909090905</v>
      </c>
      <c r="X23" s="87">
        <f>IF(L23=9,(Calculator!$E$15/Data!$T$40)*Data!U23,0)</f>
        <v>4500</v>
      </c>
      <c r="Y23" s="78" t="b">
        <f>IF(Calculator!$E$7="Current",R23,IF(YEAR(I23)&amp;" "&amp;MONTH(I23)=$J$3,"Start",IF(I23&gt;$H$3,FALSE,"")))</f>
        <v>0</v>
      </c>
      <c r="Z23" s="91">
        <f>IF(S23=FALSE,0,IF(K23="Health",IF(Y23="Start",Calculator!$E$24/24,IF(Y23=FALSE,Calculator!$E$24/24,""))))</f>
        <v>480.875</v>
      </c>
      <c r="AA23" s="91">
        <f t="shared" ref="AA23:AB23" si="23">Z23</f>
        <v>480.875</v>
      </c>
      <c r="AB23" s="91">
        <f t="shared" si="23"/>
        <v>480.875</v>
      </c>
      <c r="AC23" s="78" t="str">
        <f t="shared" si="5"/>
        <v/>
      </c>
      <c r="AD23" s="12">
        <f>IF(S23=FALSE,0,IF(Data!$I$4&gt;Data!$I$1,0,IF(S23="End",($I$1-N23)+1,IF(AC23=FALSE,T23,IF(AC23="Start",(P23-$I$4)+1,0)))))</f>
        <v>0</v>
      </c>
      <c r="AE23" s="21">
        <f>(Calculator!$E$23/Data!$T$38)*Data!AD23</f>
        <v>0</v>
      </c>
      <c r="AF23" s="21">
        <f>IF(M23=10,(Calculator!$E$23/Data!$T$39)*Data!AD23,0)</f>
        <v>0</v>
      </c>
      <c r="AG23" s="21">
        <f>IF(L23=9,(Calculator!$E$23/Data!$T$40)*Data!AD23,0)</f>
        <v>0</v>
      </c>
    </row>
    <row r="24" spans="4:33" x14ac:dyDescent="0.25">
      <c r="F24" s="13">
        <f t="shared" si="11"/>
        <v>44542</v>
      </c>
      <c r="G24" s="9" t="s">
        <v>42</v>
      </c>
      <c r="H24" s="13">
        <f t="shared" si="6"/>
        <v>44555</v>
      </c>
      <c r="I24" s="144">
        <v>44568</v>
      </c>
      <c r="J24" s="103">
        <v>14</v>
      </c>
      <c r="K24" s="8" t="s">
        <v>56</v>
      </c>
      <c r="L24" s="8">
        <v>9</v>
      </c>
      <c r="M24" s="8">
        <v>10</v>
      </c>
      <c r="N24" s="80">
        <f t="shared" si="7"/>
        <v>44542</v>
      </c>
      <c r="O24" s="14" t="s">
        <v>42</v>
      </c>
      <c r="P24" s="19">
        <f t="shared" si="8"/>
        <v>44555</v>
      </c>
      <c r="Q24" s="12">
        <f t="shared" si="9"/>
        <v>44568</v>
      </c>
      <c r="R24" s="15" t="b">
        <f t="shared" si="1"/>
        <v>0</v>
      </c>
      <c r="S24" s="15" t="str">
        <f>IF(Calculator!$E$11="","",IF($I$1&gt;=N24,IF($I$1&lt;=P24,"End","")))</f>
        <v/>
      </c>
      <c r="T24" s="12">
        <f t="shared" si="19"/>
        <v>14</v>
      </c>
      <c r="U24" s="12">
        <f t="shared" si="3"/>
        <v>14</v>
      </c>
      <c r="V24" s="85">
        <f>(Calculator!$E$15/Data!$T$38)*Data!U24</f>
        <v>3461.5384615384614</v>
      </c>
      <c r="W24" s="86">
        <f>IF(M24=10,(Calculator!$E$15/Data!$T$39)*Data!U24,0)</f>
        <v>4090.9090909090905</v>
      </c>
      <c r="X24" s="87">
        <f>IF(L24=9,(Calculator!$E$15/Data!$T$40)*Data!U24,0)</f>
        <v>4500</v>
      </c>
      <c r="Y24" s="78" t="b">
        <f>IF(Calculator!$E$7="Current",R24,IF(YEAR(I24)&amp;" "&amp;MONTH(I24)=$J$3,"Start",IF(I24&gt;$H$3,FALSE,"")))</f>
        <v>0</v>
      </c>
      <c r="Z24" s="91">
        <f>IF(S24=FALSE,0,IF(K24="Health",IF(Y24="Start",Calculator!$E$24/24,IF(Y24=FALSE,Calculator!$E$24/24,""))))</f>
        <v>480.875</v>
      </c>
      <c r="AA24" s="91">
        <f t="shared" ref="AA24:AB24" si="24">Z24</f>
        <v>480.875</v>
      </c>
      <c r="AB24" s="91">
        <f t="shared" si="24"/>
        <v>480.875</v>
      </c>
      <c r="AC24" s="78" t="str">
        <f t="shared" si="5"/>
        <v/>
      </c>
      <c r="AD24" s="12">
        <f>IF(S24=FALSE,0,IF(Data!$I$4&gt;Data!$I$1,0,IF(S24="End",($I$1-N24)+1,IF(AC24=FALSE,T24,IF(AC24="Start",(P24-$I$4)+1,0)))))</f>
        <v>0</v>
      </c>
      <c r="AE24" s="21">
        <f>(Calculator!$E$23/Data!$T$38)*Data!AD24</f>
        <v>0</v>
      </c>
      <c r="AF24" s="21">
        <f>IF(M24=10,(Calculator!$E$23/Data!$T$39)*Data!AD24,0)</f>
        <v>0</v>
      </c>
      <c r="AG24" s="21">
        <f>IF(L24=9,(Calculator!$E$23/Data!$T$40)*Data!AD24,0)</f>
        <v>0</v>
      </c>
    </row>
    <row r="25" spans="4:33" x14ac:dyDescent="0.25">
      <c r="F25" s="13">
        <f t="shared" si="11"/>
        <v>44556</v>
      </c>
      <c r="G25" s="9" t="s">
        <v>42</v>
      </c>
      <c r="H25" s="13">
        <f t="shared" si="6"/>
        <v>44569</v>
      </c>
      <c r="I25" s="144">
        <v>44582</v>
      </c>
      <c r="J25" s="103">
        <v>15</v>
      </c>
      <c r="K25" s="8" t="s">
        <v>56</v>
      </c>
      <c r="L25" s="8">
        <v>9</v>
      </c>
      <c r="M25" s="8">
        <v>10</v>
      </c>
      <c r="N25" s="80">
        <f t="shared" si="7"/>
        <v>44556</v>
      </c>
      <c r="O25" s="14" t="s">
        <v>42</v>
      </c>
      <c r="P25" s="19">
        <f t="shared" si="8"/>
        <v>44569</v>
      </c>
      <c r="Q25" s="12">
        <f t="shared" si="9"/>
        <v>44582</v>
      </c>
      <c r="R25" s="15" t="b">
        <f t="shared" si="1"/>
        <v>0</v>
      </c>
      <c r="S25" s="15" t="str">
        <f>IF(Calculator!$E$11="","",IF($I$1&gt;=N25,IF($I$1&lt;=P25,"End","")))</f>
        <v/>
      </c>
      <c r="T25" s="12">
        <f t="shared" si="19"/>
        <v>14</v>
      </c>
      <c r="U25" s="12">
        <f t="shared" si="3"/>
        <v>14</v>
      </c>
      <c r="V25" s="85">
        <f>(Calculator!$E$15/Data!$T$38)*Data!U25</f>
        <v>3461.5384615384614</v>
      </c>
      <c r="W25" s="86">
        <f>IF(M25=10,(Calculator!$E$15/Data!$T$39)*Data!U25,0)</f>
        <v>4090.9090909090905</v>
      </c>
      <c r="X25" s="87">
        <f>IF(L25=9,(Calculator!$E$15/Data!$T$40)*Data!U25,0)</f>
        <v>4500</v>
      </c>
      <c r="Y25" s="78" t="b">
        <f>IF(Calculator!$E$7="Current",R25,IF(YEAR(I25)&amp;" "&amp;MONTH(I25)=$J$3,"Start",IF(I25&gt;$H$3,FALSE,"")))</f>
        <v>0</v>
      </c>
      <c r="Z25" s="91">
        <f>IF(S25=FALSE,0,IF(K25="Health",IF(Y25="Start",Calculator!$E$24/24,IF(Y25=FALSE,Calculator!$E$24/24,""))))</f>
        <v>480.875</v>
      </c>
      <c r="AA25" s="91">
        <f t="shared" ref="AA25:AB25" si="25">Z25</f>
        <v>480.875</v>
      </c>
      <c r="AB25" s="91">
        <f t="shared" si="25"/>
        <v>480.875</v>
      </c>
      <c r="AC25" s="78" t="str">
        <f t="shared" si="5"/>
        <v/>
      </c>
      <c r="AD25" s="12">
        <f>IF(S25=FALSE,0,IF(Data!$I$4&gt;Data!$I$1,0,IF(S25="End",($I$1-N25)+1,IF(AC25=FALSE,T25,IF(AC25="Start",(P25-$I$4)+1,0)))))</f>
        <v>0</v>
      </c>
      <c r="AE25" s="21">
        <f>(Calculator!$E$23/Data!$T$38)*Data!AD25</f>
        <v>0</v>
      </c>
      <c r="AF25" s="21">
        <f>IF(M25=10,(Calculator!$E$23/Data!$T$39)*Data!AD25,0)</f>
        <v>0</v>
      </c>
      <c r="AG25" s="21">
        <f>IF(L25=9,(Calculator!$E$23/Data!$T$40)*Data!AD25,0)</f>
        <v>0</v>
      </c>
    </row>
    <row r="26" spans="4:33" x14ac:dyDescent="0.25">
      <c r="F26" s="13">
        <f t="shared" si="11"/>
        <v>44570</v>
      </c>
      <c r="G26" s="9" t="s">
        <v>42</v>
      </c>
      <c r="H26" s="13">
        <f t="shared" si="6"/>
        <v>44583</v>
      </c>
      <c r="I26" s="144">
        <v>44596</v>
      </c>
      <c r="J26" s="103">
        <v>16</v>
      </c>
      <c r="K26" s="8" t="s">
        <v>56</v>
      </c>
      <c r="L26" s="8">
        <v>9</v>
      </c>
      <c r="M26" s="8">
        <v>10</v>
      </c>
      <c r="N26" s="80">
        <f t="shared" si="7"/>
        <v>44570</v>
      </c>
      <c r="O26" s="14" t="s">
        <v>42</v>
      </c>
      <c r="P26" s="19">
        <f t="shared" si="8"/>
        <v>44583</v>
      </c>
      <c r="Q26" s="12">
        <f t="shared" si="9"/>
        <v>44596</v>
      </c>
      <c r="R26" s="15" t="b">
        <f t="shared" si="1"/>
        <v>0</v>
      </c>
      <c r="S26" s="15" t="str">
        <f>IF(Calculator!$E$11="","",IF($I$1&gt;=N26,IF($I$1&lt;=P26,"End","")))</f>
        <v/>
      </c>
      <c r="T26" s="12">
        <f t="shared" si="19"/>
        <v>14</v>
      </c>
      <c r="U26" s="12">
        <f t="shared" si="3"/>
        <v>14</v>
      </c>
      <c r="V26" s="85">
        <f>(Calculator!$E$15/Data!$T$38)*Data!U26</f>
        <v>3461.5384615384614</v>
      </c>
      <c r="W26" s="86">
        <f>IF(M26=10,(Calculator!$E$15/Data!$T$39)*Data!U26,0)</f>
        <v>4090.9090909090905</v>
      </c>
      <c r="X26" s="87">
        <f>IF(L26=9,(Calculator!$E$15/Data!$T$40)*Data!U26,0)</f>
        <v>4500</v>
      </c>
      <c r="Y26" s="78" t="b">
        <f>IF(Calculator!$E$7="Current",R26,IF(YEAR(I26)&amp;" "&amp;MONTH(I26)=$J$3,"Start",IF(I26&gt;$H$3,FALSE,"")))</f>
        <v>0</v>
      </c>
      <c r="Z26" s="91">
        <f>IF(S26=FALSE,0,IF(K26="Health",IF(Y26="Start",Calculator!$E$24/24,IF(Y26=FALSE,Calculator!$E$24/24,""))))</f>
        <v>480.875</v>
      </c>
      <c r="AA26" s="91">
        <f t="shared" ref="AA26:AB26" si="26">Z26</f>
        <v>480.875</v>
      </c>
      <c r="AB26" s="91">
        <f t="shared" si="26"/>
        <v>480.875</v>
      </c>
      <c r="AC26" s="78" t="str">
        <f t="shared" si="5"/>
        <v/>
      </c>
      <c r="AD26" s="12">
        <f>IF(S26=FALSE,0,IF(Data!$I$4&gt;Data!$I$1,0,IF(S26="End",($I$1-N26)+1,IF(AC26=FALSE,T26,IF(AC26="Start",(P26-$I$4)+1,0)))))</f>
        <v>0</v>
      </c>
      <c r="AE26" s="21">
        <f>(Calculator!$E$23/Data!$T$38)*Data!AD26</f>
        <v>0</v>
      </c>
      <c r="AF26" s="21">
        <f>IF(M26=10,(Calculator!$E$23/Data!$T$39)*Data!AD26,0)</f>
        <v>0</v>
      </c>
      <c r="AG26" s="21">
        <f>IF(L26=9,(Calculator!$E$23/Data!$T$40)*Data!AD26,0)</f>
        <v>0</v>
      </c>
    </row>
    <row r="27" spans="4:33" x14ac:dyDescent="0.25">
      <c r="F27" s="13">
        <f t="shared" si="11"/>
        <v>44584</v>
      </c>
      <c r="G27" s="9" t="s">
        <v>42</v>
      </c>
      <c r="H27" s="13">
        <f t="shared" si="6"/>
        <v>44597</v>
      </c>
      <c r="I27" s="144">
        <v>44610</v>
      </c>
      <c r="J27" s="103">
        <v>17</v>
      </c>
      <c r="K27" s="8" t="s">
        <v>56</v>
      </c>
      <c r="L27" s="8">
        <v>9</v>
      </c>
      <c r="M27" s="8">
        <v>10</v>
      </c>
      <c r="N27" s="80">
        <f t="shared" si="7"/>
        <v>44584</v>
      </c>
      <c r="O27" s="14" t="s">
        <v>42</v>
      </c>
      <c r="P27" s="19">
        <f t="shared" si="8"/>
        <v>44597</v>
      </c>
      <c r="Q27" s="12">
        <f t="shared" si="9"/>
        <v>44610</v>
      </c>
      <c r="R27" s="15" t="b">
        <f t="shared" si="1"/>
        <v>0</v>
      </c>
      <c r="S27" s="15" t="str">
        <f>IF(Calculator!$E$11="","",IF($I$1&gt;=N27,IF($I$1&lt;=P27,"End","")))</f>
        <v/>
      </c>
      <c r="T27" s="12">
        <f t="shared" si="19"/>
        <v>14</v>
      </c>
      <c r="U27" s="12">
        <f t="shared" si="3"/>
        <v>14</v>
      </c>
      <c r="V27" s="85">
        <f>(Calculator!$E$15/Data!$T$38)*Data!U27</f>
        <v>3461.5384615384614</v>
      </c>
      <c r="W27" s="86">
        <f>IF(M27=10,(Calculator!$E$15/Data!$T$39)*Data!U27,0)</f>
        <v>4090.9090909090905</v>
      </c>
      <c r="X27" s="87">
        <f>IF(L27=9,(Calculator!$E$15/Data!$T$40)*Data!U27,0)</f>
        <v>4500</v>
      </c>
      <c r="Y27" s="78" t="b">
        <f>IF(Calculator!$E$7="Current",R27,IF(YEAR(I27)&amp;" "&amp;MONTH(I27)=$J$3,"Start",IF(I27&gt;$H$3,FALSE,"")))</f>
        <v>0</v>
      </c>
      <c r="Z27" s="91">
        <f>IF(S27=FALSE,0,IF(K27="Health",IF(Y27="Start",Calculator!$E$24/24,IF(Y27=FALSE,Calculator!$E$24/24,""))))</f>
        <v>480.875</v>
      </c>
      <c r="AA27" s="91">
        <f t="shared" ref="AA27:AB27" si="27">Z27</f>
        <v>480.875</v>
      </c>
      <c r="AB27" s="91">
        <f t="shared" si="27"/>
        <v>480.875</v>
      </c>
      <c r="AC27" s="78" t="str">
        <f t="shared" si="5"/>
        <v/>
      </c>
      <c r="AD27" s="12">
        <f>IF(S27=FALSE,0,IF(Data!$I$4&gt;Data!$I$1,0,IF(S27="End",($I$1-N27)+1,IF(AC27=FALSE,T27,IF(AC27="Start",(P27-$I$4)+1,0)))))</f>
        <v>0</v>
      </c>
      <c r="AE27" s="21">
        <f>(Calculator!$E$23/Data!$T$38)*Data!AD27</f>
        <v>0</v>
      </c>
      <c r="AF27" s="21">
        <f>IF(M27=10,(Calculator!$E$23/Data!$T$39)*Data!AD27,0)</f>
        <v>0</v>
      </c>
      <c r="AG27" s="21">
        <f>IF(L27=9,(Calculator!$E$23/Data!$T$40)*Data!AD27,0)</f>
        <v>0</v>
      </c>
    </row>
    <row r="28" spans="4:33" x14ac:dyDescent="0.25">
      <c r="F28" s="13">
        <f t="shared" si="11"/>
        <v>44598</v>
      </c>
      <c r="G28" s="9" t="s">
        <v>42</v>
      </c>
      <c r="H28" s="13">
        <f t="shared" si="6"/>
        <v>44611</v>
      </c>
      <c r="I28" s="144">
        <v>44624</v>
      </c>
      <c r="J28" s="103">
        <v>18</v>
      </c>
      <c r="K28" s="8" t="s">
        <v>56</v>
      </c>
      <c r="L28" s="8">
        <v>9</v>
      </c>
      <c r="M28" s="8">
        <v>10</v>
      </c>
      <c r="N28" s="80">
        <f t="shared" si="7"/>
        <v>44598</v>
      </c>
      <c r="O28" s="14" t="s">
        <v>42</v>
      </c>
      <c r="P28" s="19">
        <f t="shared" si="8"/>
        <v>44611</v>
      </c>
      <c r="Q28" s="12">
        <f t="shared" si="9"/>
        <v>44624</v>
      </c>
      <c r="R28" s="15" t="b">
        <f t="shared" si="1"/>
        <v>0</v>
      </c>
      <c r="S28" s="15" t="str">
        <f>IF(Calculator!$E$11="","",IF($I$1&gt;=N28,IF($I$1&lt;=P28,"End","")))</f>
        <v/>
      </c>
      <c r="T28" s="12">
        <f t="shared" si="19"/>
        <v>14</v>
      </c>
      <c r="U28" s="12">
        <f t="shared" si="3"/>
        <v>14</v>
      </c>
      <c r="V28" s="85">
        <f>(Calculator!$E$15/Data!$T$38)*Data!U28</f>
        <v>3461.5384615384614</v>
      </c>
      <c r="W28" s="86">
        <f>IF(M28=10,(Calculator!$E$15/Data!$T$39)*Data!U28,0)</f>
        <v>4090.9090909090905</v>
      </c>
      <c r="X28" s="87">
        <f>IF(L28=9,(Calculator!$E$15/Data!$T$40)*Data!U28,0)</f>
        <v>4500</v>
      </c>
      <c r="Y28" s="78" t="b">
        <f>IF(Calculator!$E$7="Current",R28,IF(YEAR(I28)&amp;" "&amp;MONTH(I28)=$J$3,"Start",IF(I28&gt;$H$3,FALSE,"")))</f>
        <v>0</v>
      </c>
      <c r="Z28" s="91">
        <f>IF(S28=FALSE,0,IF(K28="Health",IF(Y28="Start",Calculator!$E$24/24,IF(Y28=FALSE,Calculator!$E$24/24,""))))</f>
        <v>480.875</v>
      </c>
      <c r="AA28" s="91">
        <f t="shared" ref="AA28:AB28" si="28">Z28</f>
        <v>480.875</v>
      </c>
      <c r="AB28" s="91">
        <f t="shared" si="28"/>
        <v>480.875</v>
      </c>
      <c r="AC28" s="78" t="str">
        <f t="shared" si="5"/>
        <v/>
      </c>
      <c r="AD28" s="12">
        <f>IF(S28=FALSE,0,IF(Data!$I$4&gt;Data!$I$1,0,IF(S28="End",($I$1-N28)+1,IF(AC28=FALSE,T28,IF(AC28="Start",(P28-$I$4)+1,0)))))</f>
        <v>0</v>
      </c>
      <c r="AE28" s="21">
        <f>(Calculator!$E$23/Data!$T$38)*Data!AD28</f>
        <v>0</v>
      </c>
      <c r="AF28" s="21">
        <f>IF(M28=10,(Calculator!$E$23/Data!$T$39)*Data!AD28,0)</f>
        <v>0</v>
      </c>
      <c r="AG28" s="21">
        <f>IF(L28=9,(Calculator!$E$23/Data!$T$40)*Data!AD28,0)</f>
        <v>0</v>
      </c>
    </row>
    <row r="29" spans="4:33" x14ac:dyDescent="0.25">
      <c r="F29" s="13">
        <f t="shared" si="11"/>
        <v>44612</v>
      </c>
      <c r="G29" s="9" t="s">
        <v>42</v>
      </c>
      <c r="H29" s="13">
        <f t="shared" si="6"/>
        <v>44625</v>
      </c>
      <c r="I29" s="144">
        <v>44638</v>
      </c>
      <c r="J29" s="103">
        <v>19</v>
      </c>
      <c r="K29" s="8" t="s">
        <v>56</v>
      </c>
      <c r="L29" s="8">
        <v>9</v>
      </c>
      <c r="M29" s="8">
        <v>10</v>
      </c>
      <c r="N29" s="80">
        <f t="shared" si="7"/>
        <v>44612</v>
      </c>
      <c r="O29" s="14" t="s">
        <v>42</v>
      </c>
      <c r="P29" s="19">
        <f t="shared" si="8"/>
        <v>44625</v>
      </c>
      <c r="Q29" s="12">
        <f t="shared" si="9"/>
        <v>44638</v>
      </c>
      <c r="R29" s="15" t="b">
        <f t="shared" si="1"/>
        <v>0</v>
      </c>
      <c r="S29" s="15" t="str">
        <f>IF(Calculator!$E$11="","",IF($I$1&gt;=N29,IF($I$1&lt;=P29,"End","")))</f>
        <v/>
      </c>
      <c r="T29" s="12">
        <f t="shared" si="19"/>
        <v>14</v>
      </c>
      <c r="U29" s="12">
        <f t="shared" si="3"/>
        <v>14</v>
      </c>
      <c r="V29" s="85">
        <f>(Calculator!$E$15/Data!$T$38)*Data!U29</f>
        <v>3461.5384615384614</v>
      </c>
      <c r="W29" s="86">
        <f>IF(M29=10,(Calculator!$E$15/Data!$T$39)*Data!U29,0)</f>
        <v>4090.9090909090905</v>
      </c>
      <c r="X29" s="87">
        <f>IF(L29=9,(Calculator!$E$15/Data!$T$40)*Data!U29,0)</f>
        <v>4500</v>
      </c>
      <c r="Y29" s="78" t="b">
        <f>IF(Calculator!$E$7="Current",R29,IF(YEAR(I29)&amp;" "&amp;MONTH(I29)=$J$3,"Start",IF(I29&gt;$H$3,FALSE,"")))</f>
        <v>0</v>
      </c>
      <c r="Z29" s="91">
        <f>IF(S29=FALSE,0,IF(K29="Health",IF(Y29="Start",Calculator!$E$24/24,IF(Y29=FALSE,Calculator!$E$24/24,""))))</f>
        <v>480.875</v>
      </c>
      <c r="AA29" s="91">
        <f t="shared" ref="AA29:AB29" si="29">Z29</f>
        <v>480.875</v>
      </c>
      <c r="AB29" s="91">
        <f t="shared" si="29"/>
        <v>480.875</v>
      </c>
      <c r="AC29" s="78" t="str">
        <f t="shared" si="5"/>
        <v/>
      </c>
      <c r="AD29" s="12">
        <f>IF(S29=FALSE,0,IF(Data!$I$4&gt;Data!$I$1,0,IF(S29="End",($I$1-N29)+1,IF(AC29=FALSE,T29,IF(AC29="Start",(P29-$I$4)+1,0)))))</f>
        <v>0</v>
      </c>
      <c r="AE29" s="21">
        <f>(Calculator!$E$23/Data!$T$38)*Data!AD29</f>
        <v>0</v>
      </c>
      <c r="AF29" s="21">
        <f>IF(M29=10,(Calculator!$E$23/Data!$T$39)*Data!AD29,0)</f>
        <v>0</v>
      </c>
      <c r="AG29" s="21">
        <f>IF(L29=9,(Calculator!$E$23/Data!$T$40)*Data!AD29,0)</f>
        <v>0</v>
      </c>
    </row>
    <row r="30" spans="4:33" x14ac:dyDescent="0.25">
      <c r="F30" s="13">
        <f t="shared" si="11"/>
        <v>44626</v>
      </c>
      <c r="G30" s="9" t="s">
        <v>42</v>
      </c>
      <c r="H30" s="13">
        <f t="shared" si="6"/>
        <v>44639</v>
      </c>
      <c r="I30" s="144">
        <v>44652</v>
      </c>
      <c r="J30" s="103">
        <v>20</v>
      </c>
      <c r="K30" s="8" t="s">
        <v>56</v>
      </c>
      <c r="L30" s="8">
        <v>9</v>
      </c>
      <c r="M30" s="8">
        <v>10</v>
      </c>
      <c r="N30" s="80">
        <f t="shared" si="7"/>
        <v>44626</v>
      </c>
      <c r="O30" s="14" t="s">
        <v>42</v>
      </c>
      <c r="P30" s="19">
        <f t="shared" si="8"/>
        <v>44639</v>
      </c>
      <c r="Q30" s="12">
        <f t="shared" si="9"/>
        <v>44652</v>
      </c>
      <c r="R30" s="15" t="b">
        <f t="shared" si="1"/>
        <v>0</v>
      </c>
      <c r="S30" s="15" t="str">
        <f>IF(Calculator!$E$11="","",IF($I$1&gt;=N30,IF($I$1&lt;=P30,"End","")))</f>
        <v/>
      </c>
      <c r="T30" s="12">
        <f t="shared" si="19"/>
        <v>14</v>
      </c>
      <c r="U30" s="12">
        <f t="shared" si="3"/>
        <v>14</v>
      </c>
      <c r="V30" s="85">
        <f>(Calculator!$E$15/Data!$T$38)*Data!U30</f>
        <v>3461.5384615384614</v>
      </c>
      <c r="W30" s="86">
        <f>IF(M30=10,(Calculator!$E$15/Data!$T$39)*Data!U30,0)</f>
        <v>4090.9090909090905</v>
      </c>
      <c r="X30" s="87">
        <f>IF(L30=9,(Calculator!$E$15/Data!$T$40)*Data!U30,0)</f>
        <v>4500</v>
      </c>
      <c r="Y30" s="78" t="b">
        <f>IF(Calculator!$E$7="Current",R30,IF(YEAR(I30)&amp;" "&amp;MONTH(I30)=$J$3,"Start",IF(I30&gt;$H$3,FALSE,"")))</f>
        <v>0</v>
      </c>
      <c r="Z30" s="91">
        <f>IF(S30=FALSE,0,IF(K30="Health",IF(Y30="Start",Calculator!$E$24/24,IF(Y30=FALSE,Calculator!$E$24/24,""))))</f>
        <v>480.875</v>
      </c>
      <c r="AA30" s="91">
        <f t="shared" ref="AA30:AB30" si="30">Z30</f>
        <v>480.875</v>
      </c>
      <c r="AB30" s="91">
        <f t="shared" si="30"/>
        <v>480.875</v>
      </c>
      <c r="AC30" s="78" t="str">
        <f t="shared" si="5"/>
        <v/>
      </c>
      <c r="AD30" s="12">
        <f>IF(S30=FALSE,0,IF(Data!$I$4&gt;Data!$I$1,0,IF(S30="End",($I$1-N30)+1,IF(AC30=FALSE,T30,IF(AC30="Start",(P30-$I$4)+1,0)))))</f>
        <v>0</v>
      </c>
      <c r="AE30" s="21">
        <f>(Calculator!$E$23/Data!$T$38)*Data!AD30</f>
        <v>0</v>
      </c>
      <c r="AF30" s="21">
        <f>IF(M30=10,(Calculator!$E$23/Data!$T$39)*Data!AD30,0)</f>
        <v>0</v>
      </c>
      <c r="AG30" s="21">
        <f>IF(L30=9,(Calculator!$E$23/Data!$T$40)*Data!AD30,0)</f>
        <v>0</v>
      </c>
    </row>
    <row r="31" spans="4:33" x14ac:dyDescent="0.25">
      <c r="F31" s="13">
        <f t="shared" si="11"/>
        <v>44640</v>
      </c>
      <c r="G31" s="9" t="s">
        <v>42</v>
      </c>
      <c r="H31" s="13">
        <f t="shared" si="6"/>
        <v>44653</v>
      </c>
      <c r="I31" s="144">
        <v>44666</v>
      </c>
      <c r="J31" s="103">
        <v>21</v>
      </c>
      <c r="K31" s="8" t="s">
        <v>56</v>
      </c>
      <c r="L31" s="8">
        <v>9</v>
      </c>
      <c r="M31" s="8">
        <v>10</v>
      </c>
      <c r="N31" s="80">
        <f t="shared" si="7"/>
        <v>44640</v>
      </c>
      <c r="O31" s="14" t="s">
        <v>42</v>
      </c>
      <c r="P31" s="19">
        <f t="shared" si="8"/>
        <v>44653</v>
      </c>
      <c r="Q31" s="12">
        <f t="shared" si="9"/>
        <v>44666</v>
      </c>
      <c r="R31" s="15" t="b">
        <f t="shared" si="1"/>
        <v>0</v>
      </c>
      <c r="S31" s="15" t="str">
        <f>IF(Calculator!$E$11="","",IF($I$1&gt;=N31,IF($I$1&lt;=P31,"End","")))</f>
        <v/>
      </c>
      <c r="T31" s="12">
        <f t="shared" si="19"/>
        <v>14</v>
      </c>
      <c r="U31" s="12">
        <f t="shared" si="3"/>
        <v>14</v>
      </c>
      <c r="V31" s="85">
        <f>(Calculator!$E$15/Data!$T$38)*Data!U31</f>
        <v>3461.5384615384614</v>
      </c>
      <c r="W31" s="86">
        <f>IF(M31=10,(Calculator!$E$15/Data!$T$39)*Data!U31,0)</f>
        <v>4090.9090909090905</v>
      </c>
      <c r="X31" s="87">
        <f>IF(L31=9,(Calculator!$E$15/Data!$T$40)*Data!U31,0)</f>
        <v>4500</v>
      </c>
      <c r="Y31" s="78" t="b">
        <f>IF(Calculator!$E$7="Current",R31,IF(YEAR(I31)&amp;" "&amp;MONTH(I31)=$J$3,"Start",IF(I31&gt;$H$3,FALSE,"")))</f>
        <v>0</v>
      </c>
      <c r="Z31" s="91">
        <f>IF(S31=FALSE,0,IF(K31="Health",IF(Y31="Start",Calculator!$E$24/24,IF(Y31=FALSE,Calculator!$E$24/24,""))))</f>
        <v>480.875</v>
      </c>
      <c r="AA31" s="91">
        <f t="shared" ref="AA31:AB31" si="31">Z31</f>
        <v>480.875</v>
      </c>
      <c r="AB31" s="91">
        <f t="shared" si="31"/>
        <v>480.875</v>
      </c>
      <c r="AC31" s="78" t="str">
        <f t="shared" si="5"/>
        <v/>
      </c>
      <c r="AD31" s="12">
        <f>IF(S31=FALSE,0,IF(Data!$I$4&gt;Data!$I$1,0,IF(S31="End",($I$1-N31)+1,IF(AC31=FALSE,T31,IF(AC31="Start",(P31-$I$4)+1,0)))))</f>
        <v>0</v>
      </c>
      <c r="AE31" s="21">
        <f>(Calculator!$E$23/Data!$T$38)*Data!AD31</f>
        <v>0</v>
      </c>
      <c r="AF31" s="21">
        <f>IF(M31=10,(Calculator!$E$23/Data!$T$39)*Data!AD31,0)</f>
        <v>0</v>
      </c>
      <c r="AG31" s="21">
        <f>IF(L31=9,(Calculator!$E$23/Data!$T$40)*Data!AD31,0)</f>
        <v>0</v>
      </c>
    </row>
    <row r="32" spans="4:33" x14ac:dyDescent="0.25">
      <c r="F32" s="13">
        <f t="shared" si="11"/>
        <v>44654</v>
      </c>
      <c r="G32" s="9" t="s">
        <v>42</v>
      </c>
      <c r="H32" s="13">
        <f t="shared" si="6"/>
        <v>44667</v>
      </c>
      <c r="I32" s="144">
        <v>44680</v>
      </c>
      <c r="J32" s="103">
        <v>22</v>
      </c>
      <c r="K32" s="8"/>
      <c r="L32" s="8">
        <v>9</v>
      </c>
      <c r="M32" s="8">
        <v>10</v>
      </c>
      <c r="N32" s="80">
        <f t="shared" si="7"/>
        <v>44654</v>
      </c>
      <c r="O32" s="14" t="s">
        <v>42</v>
      </c>
      <c r="P32" s="19">
        <f t="shared" si="8"/>
        <v>44667</v>
      </c>
      <c r="Q32" s="12">
        <f t="shared" si="9"/>
        <v>44680</v>
      </c>
      <c r="R32" s="15" t="b">
        <f t="shared" si="1"/>
        <v>0</v>
      </c>
      <c r="S32" s="15" t="str">
        <f>IF(Calculator!$E$11="","",IF($I$1&gt;=N32,IF($I$1&lt;=P32,"End","")))</f>
        <v/>
      </c>
      <c r="T32" s="12">
        <f t="shared" si="19"/>
        <v>14</v>
      </c>
      <c r="U32" s="12">
        <f t="shared" si="3"/>
        <v>14</v>
      </c>
      <c r="V32" s="85">
        <f>(Calculator!$E$15/Data!$T$38)*Data!U32</f>
        <v>3461.5384615384614</v>
      </c>
      <c r="W32" s="86">
        <f>IF(M32=10,(Calculator!$E$15/Data!$T$39)*Data!U32,0)</f>
        <v>4090.9090909090905</v>
      </c>
      <c r="X32" s="87">
        <f>IF(L32=9,(Calculator!$E$15/Data!$T$40)*Data!U32,0)</f>
        <v>4500</v>
      </c>
      <c r="Y32" s="78" t="b">
        <f>IF(Calculator!$E$7="Current",R32,IF(YEAR(I32)&amp;" "&amp;MONTH(I32)=$J$3,"Start",IF(I32&gt;$H$3,FALSE,"")))</f>
        <v>0</v>
      </c>
      <c r="Z32" s="91" t="b">
        <f>IF(S32=FALSE,0,IF(K32="Health",IF(Y32="Start",Calculator!$E$24/24,IF(Y32=FALSE,Calculator!$E$24/24,""))))</f>
        <v>0</v>
      </c>
      <c r="AA32" s="91" t="b">
        <f t="shared" ref="AA32:AB32" si="32">Z32</f>
        <v>0</v>
      </c>
      <c r="AB32" s="91" t="b">
        <f t="shared" si="32"/>
        <v>0</v>
      </c>
      <c r="AC32" s="78" t="str">
        <f t="shared" si="5"/>
        <v/>
      </c>
      <c r="AD32" s="12">
        <f>IF(S32=FALSE,0,IF(Data!$I$4&gt;Data!$I$1,0,IF(S32="End",($I$1-N32)+1,IF(AC32=FALSE,T32,IF(AC32="Start",(P32-$I$4)+1,0)))))</f>
        <v>0</v>
      </c>
      <c r="AE32" s="21">
        <f>(Calculator!$E$23/Data!$T$38)*Data!AD32</f>
        <v>0</v>
      </c>
      <c r="AF32" s="21">
        <f>IF(M32=10,(Calculator!$E$23/Data!$T$39)*Data!AD32,0)</f>
        <v>0</v>
      </c>
      <c r="AG32" s="21">
        <f>IF(L32=9,(Calculator!$E$23/Data!$T$40)*Data!AD32,0)</f>
        <v>0</v>
      </c>
    </row>
    <row r="33" spans="6:34" x14ac:dyDescent="0.25">
      <c r="F33" s="13">
        <f t="shared" si="11"/>
        <v>44668</v>
      </c>
      <c r="G33" s="9" t="s">
        <v>42</v>
      </c>
      <c r="H33" s="13">
        <f t="shared" si="6"/>
        <v>44681</v>
      </c>
      <c r="I33" s="144">
        <v>44694</v>
      </c>
      <c r="J33" s="103">
        <v>23</v>
      </c>
      <c r="K33" s="8" t="s">
        <v>56</v>
      </c>
      <c r="L33" s="8">
        <v>9</v>
      </c>
      <c r="M33" s="8">
        <v>10</v>
      </c>
      <c r="N33" s="80">
        <f t="shared" si="7"/>
        <v>44668</v>
      </c>
      <c r="O33" s="14" t="s">
        <v>42</v>
      </c>
      <c r="P33" s="19">
        <f t="shared" si="8"/>
        <v>44681</v>
      </c>
      <c r="Q33" s="12">
        <f t="shared" si="9"/>
        <v>44694</v>
      </c>
      <c r="R33" s="15" t="b">
        <f t="shared" si="1"/>
        <v>0</v>
      </c>
      <c r="S33" s="15" t="str">
        <f>IF(Calculator!$E$11="","",IF($I$1&gt;=N33,IF($I$1&lt;=P33,"End","")))</f>
        <v/>
      </c>
      <c r="T33" s="12">
        <f t="shared" si="19"/>
        <v>14</v>
      </c>
      <c r="U33" s="12">
        <f t="shared" si="3"/>
        <v>14</v>
      </c>
      <c r="V33" s="85">
        <f>(Calculator!$E$15/Data!$T$38)*Data!U33</f>
        <v>3461.5384615384614</v>
      </c>
      <c r="W33" s="86">
        <f>IF(M33=10,(Calculator!$E$15/Data!$T$39)*Data!U33,0)</f>
        <v>4090.9090909090905</v>
      </c>
      <c r="X33" s="87">
        <f>IF(L33=9,(Calculator!$E$15/Data!$T$40)*Data!U33,0)</f>
        <v>4500</v>
      </c>
      <c r="Y33" s="78" t="b">
        <f>IF(Calculator!$E$7="Current",R33,IF(YEAR(I33)&amp;" "&amp;MONTH(I33)=$J$3,"Start",IF(I33&gt;$H$3,FALSE,"")))</f>
        <v>0</v>
      </c>
      <c r="Z33" s="91">
        <f>IF(S33=FALSE,0,IF(K33="Health",IF(Y33="Start",Calculator!$E$24/24,IF(Y33=FALSE,Calculator!$E$24/24,""))))</f>
        <v>480.875</v>
      </c>
      <c r="AA33" s="91">
        <f t="shared" ref="AA33:AB33" si="33">Z33</f>
        <v>480.875</v>
      </c>
      <c r="AB33" s="91">
        <f t="shared" si="33"/>
        <v>480.875</v>
      </c>
      <c r="AC33" s="78" t="str">
        <f t="shared" si="5"/>
        <v/>
      </c>
      <c r="AD33" s="12">
        <f>IF(S33=FALSE,0,IF(Data!$I$4&gt;Data!$I$1,0,IF(S33="End",($I$1-N33)+1,IF(AC33=FALSE,T33,IF(AC33="Start",(P33-$I$4)+1,0)))))</f>
        <v>0</v>
      </c>
      <c r="AE33" s="21">
        <f>(Calculator!$E$23/Data!$T$38)*Data!AD33</f>
        <v>0</v>
      </c>
      <c r="AF33" s="21">
        <f>IF(M33=10,(Calculator!$E$23/Data!$T$39)*Data!AD33,0)</f>
        <v>0</v>
      </c>
      <c r="AG33" s="21">
        <f>IF(L33=9,(Calculator!$E$23/Data!$T$40)*Data!AD33,0)</f>
        <v>0</v>
      </c>
    </row>
    <row r="34" spans="6:34" x14ac:dyDescent="0.25">
      <c r="F34" s="13">
        <f t="shared" si="11"/>
        <v>44682</v>
      </c>
      <c r="G34" s="9" t="s">
        <v>42</v>
      </c>
      <c r="H34" s="13">
        <f t="shared" si="6"/>
        <v>44695</v>
      </c>
      <c r="I34" s="144">
        <v>44708</v>
      </c>
      <c r="J34" s="103">
        <v>24</v>
      </c>
      <c r="K34" s="8" t="s">
        <v>56</v>
      </c>
      <c r="L34" s="8">
        <v>9</v>
      </c>
      <c r="M34" s="8">
        <v>10</v>
      </c>
      <c r="N34" s="80">
        <f t="shared" si="7"/>
        <v>44682</v>
      </c>
      <c r="O34" s="14" t="s">
        <v>42</v>
      </c>
      <c r="P34" s="19">
        <f t="shared" si="8"/>
        <v>44695</v>
      </c>
      <c r="Q34" s="12">
        <f t="shared" si="9"/>
        <v>44708</v>
      </c>
      <c r="R34" s="15" t="b">
        <f t="shared" si="1"/>
        <v>0</v>
      </c>
      <c r="S34" s="15" t="str">
        <f>IF(Calculator!$E$11="","",IF($I$1&gt;=N34,IF($I$1&lt;=P34,"End","")))</f>
        <v/>
      </c>
      <c r="T34" s="12">
        <f t="shared" si="19"/>
        <v>14</v>
      </c>
      <c r="U34" s="12">
        <f t="shared" si="3"/>
        <v>14</v>
      </c>
      <c r="V34" s="85">
        <f>(Calculator!$E$15/Data!$T$38)*Data!U34</f>
        <v>3461.5384615384614</v>
      </c>
      <c r="W34" s="86">
        <f>IF(M34=10,(Calculator!$E$15/Data!$T$39)*Data!U34,0)</f>
        <v>4090.9090909090905</v>
      </c>
      <c r="X34" s="87">
        <f>IF(L34=9,(Calculator!$E$15/Data!$T$40)*Data!U34,0)</f>
        <v>4500</v>
      </c>
      <c r="Y34" s="78" t="b">
        <f>IF(Calculator!$E$7="Current",R34,IF(YEAR(I34)&amp;" "&amp;MONTH(I34)=$J$3,"Start",IF(I34&gt;$H$3,FALSE,"")))</f>
        <v>0</v>
      </c>
      <c r="Z34" s="91">
        <f>IF(S34=FALSE,0,IF(K34="Health",IF(Y34="Start",Calculator!$E$24/24,IF(Y34=FALSE,Calculator!$E$24/24,""))))</f>
        <v>480.875</v>
      </c>
      <c r="AA34" s="91">
        <f t="shared" ref="AA34:AB34" si="34">Z34</f>
        <v>480.875</v>
      </c>
      <c r="AB34" s="91">
        <f t="shared" si="34"/>
        <v>480.875</v>
      </c>
      <c r="AC34" s="78" t="str">
        <f t="shared" si="5"/>
        <v/>
      </c>
      <c r="AD34" s="12">
        <f>IF(S34=FALSE,0,IF(Data!$I$4&gt;Data!$I$1,0,IF(S34="End",($I$1-N34)+1,IF(AC34=FALSE,T34,IF(AC34="Start",(P34-$I$4)+1,0)))))</f>
        <v>0</v>
      </c>
      <c r="AE34" s="21">
        <f>(Calculator!$E$23/Data!$T$38)*Data!AD34</f>
        <v>0</v>
      </c>
      <c r="AF34" s="21">
        <f>IF(M34=10,(Calculator!$E$23/Data!$T$39)*Data!AD34,0)</f>
        <v>0</v>
      </c>
      <c r="AG34" s="21">
        <f>IF(L34=9,(Calculator!$E$23/Data!$T$40)*Data!AD34,0)</f>
        <v>0</v>
      </c>
    </row>
    <row r="35" spans="6:34" x14ac:dyDescent="0.25">
      <c r="F35" s="13">
        <f t="shared" si="11"/>
        <v>44696</v>
      </c>
      <c r="G35" s="9" t="s">
        <v>42</v>
      </c>
      <c r="H35" s="13">
        <f t="shared" si="6"/>
        <v>44709</v>
      </c>
      <c r="I35" s="144">
        <v>44722</v>
      </c>
      <c r="J35" s="103">
        <v>25</v>
      </c>
      <c r="K35" s="8" t="s">
        <v>56</v>
      </c>
      <c r="L35" s="8"/>
      <c r="M35" s="8">
        <v>10</v>
      </c>
      <c r="N35" s="80">
        <f t="shared" si="7"/>
        <v>44696</v>
      </c>
      <c r="O35" s="14" t="s">
        <v>42</v>
      </c>
      <c r="P35" s="19">
        <f t="shared" si="8"/>
        <v>44709</v>
      </c>
      <c r="Q35" s="12">
        <f t="shared" si="9"/>
        <v>44722</v>
      </c>
      <c r="R35" s="15" t="b">
        <f t="shared" si="1"/>
        <v>0</v>
      </c>
      <c r="S35" s="15" t="str">
        <f>IF(Calculator!$E$11="","",IF($I$1&gt;=N35,IF($I$1&lt;=P35,"End","")))</f>
        <v/>
      </c>
      <c r="T35" s="12">
        <f t="shared" si="19"/>
        <v>14</v>
      </c>
      <c r="U35" s="12">
        <f t="shared" si="3"/>
        <v>14</v>
      </c>
      <c r="V35" s="85">
        <f>(Calculator!$E$15/Data!$T$38)*Data!U35</f>
        <v>3461.5384615384614</v>
      </c>
      <c r="W35" s="86">
        <f>IF(M35=10,(Calculator!$E$15/Data!$T$39)*Data!U35,0)</f>
        <v>4090.9090909090905</v>
      </c>
      <c r="X35" s="87">
        <f>IF(L35=9,(Calculator!$E$15/Data!$T$40)*Data!U35,0)</f>
        <v>0</v>
      </c>
      <c r="Y35" s="78" t="b">
        <f>IF(Calculator!$E$7="Current",R35,IF(YEAR(I35)&amp;" "&amp;MONTH(I35)=$J$3,"Start",IF(I35&gt;$H$3,FALSE,"")))</f>
        <v>0</v>
      </c>
      <c r="Z35" s="91">
        <f>IF(S35=FALSE,0,IF(K35="Health",IF(Y35="Start",Calculator!$E$24/24,IF(Y35=FALSE,Calculator!$E$24/24,""))))</f>
        <v>480.875</v>
      </c>
      <c r="AA35" s="91">
        <f t="shared" ref="AA35:AB35" si="35">Z35</f>
        <v>480.875</v>
      </c>
      <c r="AB35" s="91">
        <f t="shared" si="35"/>
        <v>480.875</v>
      </c>
      <c r="AC35" s="78" t="str">
        <f t="shared" si="5"/>
        <v/>
      </c>
      <c r="AD35" s="12">
        <f>IF(S35=FALSE,0,IF(Data!$I$4&gt;Data!$I$1,0,IF(S35="End",($I$1-N35)+1,IF(AC35=FALSE,T35,IF(AC35="Start",(P35-$I$4)+1,0)))))</f>
        <v>0</v>
      </c>
      <c r="AE35" s="21">
        <f>(Calculator!$E$23/Data!$T$38)*Data!AD35</f>
        <v>0</v>
      </c>
      <c r="AF35" s="21">
        <f>IF(M35=10,(Calculator!$E$23/Data!$T$39)*Data!AD35,0)</f>
        <v>0</v>
      </c>
      <c r="AG35" s="21">
        <f>IF(L35=9,(Calculator!$E$23/Data!$T$40)*Data!AD35,0)</f>
        <v>0</v>
      </c>
    </row>
    <row r="36" spans="6:34" x14ac:dyDescent="0.25">
      <c r="F36" s="13">
        <f t="shared" si="11"/>
        <v>44710</v>
      </c>
      <c r="G36" s="7" t="s">
        <v>42</v>
      </c>
      <c r="H36" s="13">
        <f t="shared" si="6"/>
        <v>44723</v>
      </c>
      <c r="I36" s="144">
        <v>44736</v>
      </c>
      <c r="J36" s="103">
        <v>26</v>
      </c>
      <c r="K36" s="8" t="s">
        <v>56</v>
      </c>
      <c r="L36" s="8"/>
      <c r="M36" s="8">
        <v>10</v>
      </c>
      <c r="N36" s="80">
        <f t="shared" si="7"/>
        <v>44710</v>
      </c>
      <c r="O36" s="13" t="s">
        <v>42</v>
      </c>
      <c r="P36" s="19">
        <f t="shared" si="8"/>
        <v>44723</v>
      </c>
      <c r="Q36" s="12">
        <f t="shared" si="9"/>
        <v>44736</v>
      </c>
      <c r="R36" s="15" t="b">
        <f t="shared" si="1"/>
        <v>0</v>
      </c>
      <c r="S36" s="15" t="str">
        <f>IF(Calculator!$E$11="","",IF($I$1&gt;=N36,IF($I$1&lt;=P36,"End","")))</f>
        <v/>
      </c>
      <c r="T36" s="12">
        <f t="shared" si="19"/>
        <v>14</v>
      </c>
      <c r="U36" s="12">
        <f t="shared" si="3"/>
        <v>14</v>
      </c>
      <c r="V36" s="85">
        <f>(Calculator!$E$15/Data!$T$38)*Data!U36</f>
        <v>3461.5384615384614</v>
      </c>
      <c r="W36" s="86">
        <f>IF(M36=10,(Calculator!$E$15/Data!$T$39)*Data!U36,0)</f>
        <v>4090.9090909090905</v>
      </c>
      <c r="X36" s="87">
        <f>IF(L36=9,(Calculator!$E$15/Data!$T$40)*Data!U36,0)</f>
        <v>0</v>
      </c>
      <c r="Y36" s="78" t="b">
        <f>IF(Calculator!$E$7="Current",R36,IF(YEAR(I36)&amp;" "&amp;MONTH(I36)=$J$3,"Start",IF(I36&gt;$H$3,FALSE,"")))</f>
        <v>0</v>
      </c>
      <c r="Z36" s="91">
        <f>IF(S36=FALSE,0,IF(K36="Health",IF(Y36="Start",Calculator!$E$24/24,IF(Y36=FALSE,Calculator!$E$24/24,""))))</f>
        <v>480.875</v>
      </c>
      <c r="AA36" s="91">
        <f t="shared" ref="AA36:AB36" si="36">Z36</f>
        <v>480.875</v>
      </c>
      <c r="AB36" s="91">
        <f t="shared" si="36"/>
        <v>480.875</v>
      </c>
      <c r="AC36" s="78" t="str">
        <f t="shared" si="5"/>
        <v/>
      </c>
      <c r="AD36" s="12">
        <f>IF(S36=FALSE,0,IF(Data!$I$4&gt;Data!$I$1,0,IF(S36="End",($I$1-N36)+1,IF(AC36=FALSE,T36,IF(AC36="Start",(P36-$I$4)+1,0)))))</f>
        <v>0</v>
      </c>
      <c r="AE36" s="21">
        <f>(Calculator!$E$23/Data!$T$38)*Data!AD36</f>
        <v>0</v>
      </c>
      <c r="AF36" s="21">
        <f>IF(M36=10,(Calculator!$E$23/Data!$T$39)*Data!AD36,0)</f>
        <v>0</v>
      </c>
      <c r="AG36" s="21">
        <f>IF(L36=9,(Calculator!$E$23/Data!$T$40)*Data!AD36,0)</f>
        <v>0</v>
      </c>
    </row>
    <row r="37" spans="6:34" x14ac:dyDescent="0.25">
      <c r="F37" s="13"/>
      <c r="G37" s="14"/>
      <c r="H37" s="13"/>
      <c r="I37" s="102"/>
      <c r="J37" s="103"/>
      <c r="K37" s="103"/>
      <c r="L37" s="103"/>
      <c r="M37" s="103"/>
      <c r="N37" s="80"/>
      <c r="O37" s="14"/>
      <c r="P37" s="19"/>
      <c r="Q37" s="12"/>
      <c r="R37" s="27"/>
      <c r="S37" s="27"/>
      <c r="T37" s="18"/>
      <c r="U37" s="101"/>
      <c r="V37" s="88"/>
      <c r="W37" s="22"/>
      <c r="X37" s="82"/>
      <c r="Y37" s="79"/>
      <c r="Z37" s="92"/>
      <c r="AA37" s="92"/>
      <c r="AB37" s="96"/>
      <c r="AC37" s="79"/>
      <c r="AD37" s="18"/>
      <c r="AE37" s="22"/>
      <c r="AF37" s="22"/>
      <c r="AG37" s="22"/>
      <c r="AH37" s="97" t="s">
        <v>85</v>
      </c>
    </row>
    <row r="38" spans="6:34" x14ac:dyDescent="0.25">
      <c r="N38" s="80"/>
      <c r="O38" s="19"/>
      <c r="P38" s="19"/>
      <c r="Q38" s="12"/>
      <c r="R38" s="12" t="s">
        <v>71</v>
      </c>
      <c r="S38" s="12"/>
      <c r="T38" s="19">
        <f>SUM(T11:T37)</f>
        <v>364</v>
      </c>
      <c r="U38" s="19">
        <f>SUM(U11:U37)</f>
        <v>336</v>
      </c>
      <c r="V38" s="89">
        <f>ROUND(SUM(V11:V37),0)</f>
        <v>83077</v>
      </c>
      <c r="W38" s="20">
        <f>ROUND(SUM(W11:W37),0)</f>
        <v>90000</v>
      </c>
      <c r="X38" s="90">
        <f>ROUND(SUM(X11:X37),0)</f>
        <v>90000</v>
      </c>
      <c r="Y38" s="80"/>
      <c r="Z38" s="28">
        <f>ROUND(SUM(Z11:Z37),0)</f>
        <v>10579</v>
      </c>
      <c r="AA38" s="28">
        <f t="shared" ref="AA38:AB38" si="37">ROUND(SUM(AA11:AA37),0)</f>
        <v>10579</v>
      </c>
      <c r="AB38" s="28">
        <f t="shared" si="37"/>
        <v>10579</v>
      </c>
      <c r="AC38" s="80"/>
      <c r="AD38" s="12"/>
      <c r="AE38" s="28">
        <f>IFERROR(ROUND(SUM(AE11:AE37),0),0)</f>
        <v>0</v>
      </c>
      <c r="AF38" s="28">
        <f t="shared" ref="AF38:AG38" si="38">IFERROR(ROUND(SUM(AF11:AF37),0),0)</f>
        <v>0</v>
      </c>
      <c r="AG38" s="28">
        <f t="shared" si="38"/>
        <v>0</v>
      </c>
    </row>
    <row r="39" spans="6:34" x14ac:dyDescent="0.25">
      <c r="R39" s="12" t="s">
        <v>65</v>
      </c>
      <c r="S39" s="12"/>
      <c r="T39" s="19">
        <f>SUMIF($M$11:$M$37,10,$T$11:$T$37)</f>
        <v>308</v>
      </c>
      <c r="Y39" s="97" t="s">
        <v>80</v>
      </c>
    </row>
    <row r="40" spans="6:34" x14ac:dyDescent="0.25">
      <c r="R40" s="12" t="s">
        <v>64</v>
      </c>
      <c r="S40" s="12"/>
      <c r="T40" s="19">
        <f>SUMIF($L$11:$L$37,9,$T$11:$T$37)</f>
        <v>280</v>
      </c>
    </row>
    <row r="42" spans="6:34" ht="23.25" x14ac:dyDescent="0.35">
      <c r="F42" s="206" t="str">
        <f>Calculator!F13</f>
        <v>FY 2023</v>
      </c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</row>
    <row r="43" spans="6:34" x14ac:dyDescent="0.25">
      <c r="F43" s="200" t="s">
        <v>79</v>
      </c>
      <c r="G43" s="200"/>
      <c r="H43" s="200"/>
      <c r="I43" s="200"/>
      <c r="J43" s="200"/>
      <c r="K43" s="200"/>
      <c r="L43" s="200"/>
      <c r="M43" s="200"/>
      <c r="N43" s="94"/>
      <c r="O43" s="84"/>
      <c r="P43" s="84"/>
      <c r="Q43" s="84"/>
      <c r="R43" s="84"/>
      <c r="S43" s="84"/>
      <c r="T43" s="84"/>
      <c r="U43" s="84"/>
      <c r="V43" s="199" t="s">
        <v>55</v>
      </c>
      <c r="W43" s="200"/>
      <c r="X43" s="201"/>
      <c r="Y43" s="199" t="s">
        <v>56</v>
      </c>
      <c r="Z43" s="200"/>
      <c r="AA43" s="200"/>
      <c r="AB43" s="201"/>
      <c r="AC43" s="203" t="s">
        <v>22</v>
      </c>
      <c r="AD43" s="204"/>
      <c r="AE43" s="204"/>
      <c r="AF43" s="204"/>
      <c r="AG43" s="204"/>
    </row>
    <row r="44" spans="6:34" x14ac:dyDescent="0.25">
      <c r="F44" s="207" t="s">
        <v>44</v>
      </c>
      <c r="G44" s="207"/>
      <c r="H44" s="207"/>
      <c r="I44" s="207"/>
      <c r="J44" s="3" t="s">
        <v>43</v>
      </c>
      <c r="K44" s="3"/>
      <c r="L44" s="72"/>
      <c r="M44" s="72"/>
      <c r="N44" s="203" t="s">
        <v>45</v>
      </c>
      <c r="O44" s="204"/>
      <c r="P44" s="204"/>
      <c r="Q44" s="3"/>
      <c r="R44" s="3" t="s">
        <v>49</v>
      </c>
      <c r="S44" s="72" t="s">
        <v>83</v>
      </c>
      <c r="T44" s="3" t="s">
        <v>53</v>
      </c>
      <c r="U44" s="3" t="s">
        <v>52</v>
      </c>
      <c r="V44" s="73" t="s">
        <v>68</v>
      </c>
      <c r="W44" s="74" t="s">
        <v>69</v>
      </c>
      <c r="X44" s="81" t="s">
        <v>70</v>
      </c>
      <c r="Y44" s="29" t="s">
        <v>49</v>
      </c>
      <c r="Z44" s="74" t="s">
        <v>76</v>
      </c>
      <c r="AA44" s="74" t="s">
        <v>77</v>
      </c>
      <c r="AB44" s="74" t="s">
        <v>78</v>
      </c>
      <c r="AC44" s="29" t="s">
        <v>49</v>
      </c>
      <c r="AD44" s="3" t="s">
        <v>52</v>
      </c>
      <c r="AE44" s="71" t="s">
        <v>72</v>
      </c>
      <c r="AF44" s="71" t="s">
        <v>73</v>
      </c>
      <c r="AG44" s="71" t="s">
        <v>74</v>
      </c>
    </row>
    <row r="45" spans="6:34" x14ac:dyDescent="0.25">
      <c r="F45" s="16" t="s">
        <v>40</v>
      </c>
      <c r="G45" s="17"/>
      <c r="H45" s="16" t="s">
        <v>41</v>
      </c>
      <c r="I45" s="16" t="s">
        <v>48</v>
      </c>
      <c r="J45" s="16" t="s">
        <v>47</v>
      </c>
      <c r="K45" s="16"/>
      <c r="L45" s="16"/>
      <c r="M45" s="16"/>
      <c r="N45" s="24" t="s">
        <v>40</v>
      </c>
      <c r="O45" s="17"/>
      <c r="P45" s="16" t="s">
        <v>41</v>
      </c>
      <c r="Q45" s="16" t="s">
        <v>48</v>
      </c>
      <c r="R45" s="16" t="s">
        <v>50</v>
      </c>
      <c r="S45" s="16" t="s">
        <v>50</v>
      </c>
      <c r="T45" s="16" t="s">
        <v>54</v>
      </c>
      <c r="U45" s="16" t="s">
        <v>51</v>
      </c>
      <c r="V45" s="24" t="s">
        <v>67</v>
      </c>
      <c r="W45" s="16" t="s">
        <v>67</v>
      </c>
      <c r="X45" s="70" t="s">
        <v>67</v>
      </c>
      <c r="Y45" s="24" t="s">
        <v>50</v>
      </c>
      <c r="Z45" s="16" t="s">
        <v>67</v>
      </c>
      <c r="AA45" s="16" t="s">
        <v>67</v>
      </c>
      <c r="AB45" s="16" t="s">
        <v>67</v>
      </c>
      <c r="AC45" s="24" t="s">
        <v>50</v>
      </c>
      <c r="AD45" s="16" t="s">
        <v>51</v>
      </c>
      <c r="AE45" s="16" t="s">
        <v>67</v>
      </c>
      <c r="AF45" s="16" t="s">
        <v>67</v>
      </c>
      <c r="AG45" s="16" t="s">
        <v>67</v>
      </c>
    </row>
    <row r="46" spans="6:34" x14ac:dyDescent="0.25">
      <c r="F46" s="13">
        <f>Calculator!U8</f>
        <v>44724</v>
      </c>
      <c r="G46" s="7" t="s">
        <v>42</v>
      </c>
      <c r="H46" s="13">
        <f>F46+13</f>
        <v>44737</v>
      </c>
      <c r="I46" s="102">
        <f>I36+14</f>
        <v>44750</v>
      </c>
      <c r="J46" s="8">
        <v>1</v>
      </c>
      <c r="K46" s="8" t="s">
        <v>56</v>
      </c>
      <c r="L46" s="8"/>
      <c r="M46" s="8"/>
      <c r="N46" s="80">
        <f>DATEVALUE(TEXT(F46,"mm/dd/yyyy"))</f>
        <v>44724</v>
      </c>
      <c r="O46" s="13" t="s">
        <v>42</v>
      </c>
      <c r="P46" s="19">
        <f>DATEVALUE(TEXT(H46,"mm/dd/yyyy"))</f>
        <v>44737</v>
      </c>
      <c r="Q46" s="12">
        <f>DATEVALUE(TEXT(I46,"mm/dd/yyyy"))</f>
        <v>44750</v>
      </c>
      <c r="R46" s="15" t="b">
        <f>IF($I$2&gt;=N46,IF($I$2&lt;=P46,"Start",""))</f>
        <v>0</v>
      </c>
      <c r="S46" s="15" t="str">
        <f>IF(Calculator!$E$11="","",IF($I$1&gt;=N46,IF($I$1&lt;=P46,"End","")))</f>
        <v/>
      </c>
      <c r="T46" s="12">
        <f t="shared" ref="T46:T53" si="39">(P46-N46)+1</f>
        <v>14</v>
      </c>
      <c r="U46" s="12">
        <f t="shared" ref="U46:U49" si="40">IF(S46=FALSE,0,IF(S46="End",($I$1-N46)+1,IF(R46=FALSE,T46,IF(R46="Start",(P46-$I$2)+1,0))))</f>
        <v>14</v>
      </c>
      <c r="V46" s="85">
        <f>(Calculator!$F$15/Data!$T$72)*Data!U46</f>
        <v>3461.5384615384614</v>
      </c>
      <c r="W46" s="86">
        <f>IF(M46=10,(Calculator!$F$15/Data!$T$73)*Data!U46,0)</f>
        <v>0</v>
      </c>
      <c r="X46" s="87">
        <f>IF(L46=9,(Calculator!$F$15/Data!$T$74)*Data!U46,0)</f>
        <v>0</v>
      </c>
      <c r="Y46" s="78" t="b">
        <f>IF(Calculator!$E$7="Current",R46,IF(YEAR(I46)&amp;" "&amp;MONTH(I46)=$J$3,"Start",IF(I46&gt;$H$3,FALSE,"")))</f>
        <v>0</v>
      </c>
      <c r="Z46" s="91">
        <f>IF(S46=FALSE,0,IF(K46="Health",IF(Y46="Start",Calculator!$F$24/24,IF(Y46=FALSE,Calculator!$F$24/24,""))))</f>
        <v>504.58333333333331</v>
      </c>
      <c r="AA46" s="93">
        <f>Z46</f>
        <v>504.58333333333331</v>
      </c>
      <c r="AB46" s="91">
        <f>AA46</f>
        <v>504.58333333333331</v>
      </c>
      <c r="AC46" s="78" t="str">
        <f t="shared" ref="AC46:AC71" si="41">IF($I$4&gt;=N46,IF($I$4&lt;=P46,"Start",""))</f>
        <v/>
      </c>
      <c r="AD46" s="12">
        <f>IF(S46=FALSE,0,IF(Data!$I$4&gt;Data!$I$1,0,IF(S46="End",($I$1-N46)+1,IF(AC46=FALSE,T46,IF(AC46="Start",(P46-$I$4)+1,0)))))</f>
        <v>0</v>
      </c>
      <c r="AE46" s="21">
        <f>(Calculator!$F$23/Data!$T$72)*Data!AD46</f>
        <v>0</v>
      </c>
      <c r="AF46" s="21">
        <f>IF(M46=10,(Calculator!$F$23/Data!$T$73)*Data!AD46,0)</f>
        <v>0</v>
      </c>
      <c r="AG46" s="21">
        <f>IF(L46=9,(Calculator!$F$23/Data!$T$74)*Data!AD46,0)</f>
        <v>0</v>
      </c>
    </row>
    <row r="47" spans="6:34" x14ac:dyDescent="0.25">
      <c r="F47" s="13">
        <f>F46+14</f>
        <v>44738</v>
      </c>
      <c r="G47" s="9" t="s">
        <v>42</v>
      </c>
      <c r="H47" s="13">
        <f t="shared" ref="H47:H71" si="42">F47+13</f>
        <v>44751</v>
      </c>
      <c r="I47" s="102">
        <f>I46+14</f>
        <v>44764</v>
      </c>
      <c r="J47" s="8">
        <v>2</v>
      </c>
      <c r="K47" s="8" t="s">
        <v>56</v>
      </c>
      <c r="L47" s="8"/>
      <c r="M47" s="8"/>
      <c r="N47" s="80">
        <f t="shared" ref="N47:N71" si="43">DATEVALUE(TEXT(F47,"mm/dd/yyyy"))</f>
        <v>44738</v>
      </c>
      <c r="O47" s="14" t="s">
        <v>42</v>
      </c>
      <c r="P47" s="19">
        <f t="shared" ref="P47:P71" si="44">DATEVALUE(TEXT(H47,"mm/dd/yyyy"))</f>
        <v>44751</v>
      </c>
      <c r="Q47" s="12">
        <f t="shared" ref="Q47:Q71" si="45">DATEVALUE(TEXT(I47,"mm/dd/yyyy"))</f>
        <v>44764</v>
      </c>
      <c r="R47" s="15" t="b">
        <f t="shared" ref="R47:R71" si="46">IF($I$2&gt;=N47,IF($I$2&lt;=P47,"Start",""))</f>
        <v>0</v>
      </c>
      <c r="S47" s="15" t="str">
        <f>IF(Calculator!$E$11="","",IF($I$1&gt;=N47,IF($I$1&lt;=P47,"End","")))</f>
        <v/>
      </c>
      <c r="T47" s="12">
        <f t="shared" si="39"/>
        <v>14</v>
      </c>
      <c r="U47" s="12">
        <f t="shared" si="40"/>
        <v>14</v>
      </c>
      <c r="V47" s="85">
        <f>(Calculator!$F$15/Data!$T$72)*Data!U47</f>
        <v>3461.5384615384614</v>
      </c>
      <c r="W47" s="86">
        <f>IF(M47=10,(Calculator!$F$15/Data!$T$73)*Data!U47,0)</f>
        <v>0</v>
      </c>
      <c r="X47" s="87">
        <f>IF(L47=9,(Calculator!$F$15/Data!$T$74)*Data!U47,0)</f>
        <v>0</v>
      </c>
      <c r="Y47" s="78" t="b">
        <f>IF(Calculator!$E$7="Current",R47,IF(YEAR(I47)&amp;" "&amp;MONTH(I47)=$J$3,"Start",IF(I47&gt;$H$3,FALSE,"")))</f>
        <v>0</v>
      </c>
      <c r="Z47" s="91">
        <f>IF(S47=FALSE,0,IF(K47="Health",IF(Y47="Start",Calculator!$F$24/24,IF(Y47=FALSE,Calculator!$F$24/24,""))))</f>
        <v>504.58333333333331</v>
      </c>
      <c r="AA47" s="91">
        <f t="shared" ref="AA47:AB47" si="47">Z47</f>
        <v>504.58333333333331</v>
      </c>
      <c r="AB47" s="91">
        <f t="shared" si="47"/>
        <v>504.58333333333331</v>
      </c>
      <c r="AC47" s="78" t="str">
        <f t="shared" si="41"/>
        <v/>
      </c>
      <c r="AD47" s="12">
        <f>IF(S47=FALSE,0,IF(Data!$I$4&gt;Data!$I$1,0,IF(S47="End",($I$1-N47)+1,IF(AC47=FALSE,T47,IF(AC47="Start",(P47-$I$4)+1,0)))))</f>
        <v>0</v>
      </c>
      <c r="AE47" s="21">
        <f>(Calculator!$F$23/Data!$T$72)*Data!AD47</f>
        <v>0</v>
      </c>
      <c r="AF47" s="21">
        <f>IF(M47=10,(Calculator!$F$23/Data!$T$73)*Data!AD47,0)</f>
        <v>0</v>
      </c>
      <c r="AG47" s="21">
        <f>IF(L47=9,(Calculator!$F$23/Data!$T$74)*Data!AD47,0)</f>
        <v>0</v>
      </c>
    </row>
    <row r="48" spans="6:34" x14ac:dyDescent="0.25">
      <c r="F48" s="13">
        <f t="shared" ref="F48:F71" si="48">F47+14</f>
        <v>44752</v>
      </c>
      <c r="G48" s="9" t="s">
        <v>42</v>
      </c>
      <c r="H48" s="13">
        <f t="shared" si="42"/>
        <v>44765</v>
      </c>
      <c r="I48" s="102">
        <f t="shared" ref="I48:I71" si="49">I47+14</f>
        <v>44778</v>
      </c>
      <c r="J48" s="8">
        <v>3</v>
      </c>
      <c r="K48" s="8" t="s">
        <v>56</v>
      </c>
      <c r="L48" s="8"/>
      <c r="M48" s="8"/>
      <c r="N48" s="80">
        <f t="shared" si="43"/>
        <v>44752</v>
      </c>
      <c r="O48" s="14" t="s">
        <v>42</v>
      </c>
      <c r="P48" s="19">
        <f t="shared" si="44"/>
        <v>44765</v>
      </c>
      <c r="Q48" s="12">
        <f t="shared" si="45"/>
        <v>44778</v>
      </c>
      <c r="R48" s="15" t="b">
        <f t="shared" si="46"/>
        <v>0</v>
      </c>
      <c r="S48" s="15" t="str">
        <f>IF(Calculator!$E$11="","",IF($I$1&gt;=N48,IF($I$1&lt;=P48,"End","")))</f>
        <v/>
      </c>
      <c r="T48" s="12">
        <f t="shared" si="39"/>
        <v>14</v>
      </c>
      <c r="U48" s="12">
        <f t="shared" si="40"/>
        <v>14</v>
      </c>
      <c r="V48" s="85">
        <f>(Calculator!$F$15/Data!$T$72)*Data!U48</f>
        <v>3461.5384615384614</v>
      </c>
      <c r="W48" s="86">
        <f>IF(M48=10,(Calculator!$F$15/Data!$T$73)*Data!U48,0)</f>
        <v>0</v>
      </c>
      <c r="X48" s="87">
        <f>IF(L48=9,(Calculator!$F$15/Data!$T$74)*Data!U48,0)</f>
        <v>0</v>
      </c>
      <c r="Y48" s="78" t="b">
        <f>IF(Calculator!$E$7="Current",R48,IF(YEAR(I48)&amp;" "&amp;MONTH(I48)=$J$3,"Start",IF(I48&gt;$H$3,FALSE,"")))</f>
        <v>0</v>
      </c>
      <c r="Z48" s="91">
        <f>IF(S48=FALSE,0,IF(K48="Health",IF(Y48="Start",Calculator!$F$24/24,IF(Y48=FALSE,Calculator!$F$24/24,""))))</f>
        <v>504.58333333333331</v>
      </c>
      <c r="AA48" s="91">
        <f t="shared" ref="AA48:AB48" si="50">Z48</f>
        <v>504.58333333333331</v>
      </c>
      <c r="AB48" s="91">
        <f t="shared" si="50"/>
        <v>504.58333333333331</v>
      </c>
      <c r="AC48" s="78" t="str">
        <f t="shared" si="41"/>
        <v>Start</v>
      </c>
      <c r="AD48" s="12">
        <f>IF(S48=FALSE,0,IF(Data!$I$4&gt;Data!$I$1,0,IF(S48="End",($I$1-N48)+1,IF(AC48=FALSE,T48,IF(AC48="Start",(P48-$I$4)+1,0)))))</f>
        <v>13</v>
      </c>
      <c r="AE48" s="21">
        <f>(Calculator!$F$23/Data!$T$72)*Data!AD48</f>
        <v>273.21428571428572</v>
      </c>
      <c r="AF48" s="21">
        <f>IF(M48=10,(Calculator!$F$23/Data!$T$73)*Data!AD48,0)</f>
        <v>0</v>
      </c>
      <c r="AG48" s="21">
        <f>IF(L48=9,(Calculator!$F$23/Data!$T$74)*Data!AD48,0)</f>
        <v>0</v>
      </c>
    </row>
    <row r="49" spans="6:33" x14ac:dyDescent="0.25">
      <c r="F49" s="13">
        <f t="shared" si="48"/>
        <v>44766</v>
      </c>
      <c r="G49" s="9" t="s">
        <v>42</v>
      </c>
      <c r="H49" s="13">
        <f t="shared" si="42"/>
        <v>44779</v>
      </c>
      <c r="I49" s="102">
        <f t="shared" si="49"/>
        <v>44792</v>
      </c>
      <c r="J49" s="8">
        <v>4</v>
      </c>
      <c r="K49" s="8" t="s">
        <v>56</v>
      </c>
      <c r="N49" s="80">
        <f t="shared" si="43"/>
        <v>44766</v>
      </c>
      <c r="O49" s="14" t="s">
        <v>42</v>
      </c>
      <c r="P49" s="19">
        <f t="shared" si="44"/>
        <v>44779</v>
      </c>
      <c r="Q49" s="12">
        <f t="shared" si="45"/>
        <v>44792</v>
      </c>
      <c r="R49" s="15" t="b">
        <f t="shared" si="46"/>
        <v>0</v>
      </c>
      <c r="S49" s="15" t="str">
        <f>IF(Calculator!$E$11="","",IF($I$1&gt;=N49,IF($I$1&lt;=P49,"End","")))</f>
        <v/>
      </c>
      <c r="T49" s="12">
        <f t="shared" si="39"/>
        <v>14</v>
      </c>
      <c r="U49" s="12">
        <f t="shared" si="40"/>
        <v>14</v>
      </c>
      <c r="V49" s="85">
        <f>(Calculator!$F$15/Data!$T$72)*Data!U49</f>
        <v>3461.5384615384614</v>
      </c>
      <c r="W49" s="86">
        <f>IF(M49=10,(Calculator!$F$15/Data!$T$73)*Data!U49,0)</f>
        <v>0</v>
      </c>
      <c r="X49" s="87">
        <f>IF(L49=9,(Calculator!$F$15/Data!$T$74)*Data!U49,0)</f>
        <v>0</v>
      </c>
      <c r="Y49" s="78" t="b">
        <f>IF(Calculator!$E$7="Current",R49,IF(YEAR(I49)&amp;" "&amp;MONTH(I49)=$J$3,"Start",IF(I49&gt;$H$3,FALSE,"")))</f>
        <v>0</v>
      </c>
      <c r="Z49" s="91">
        <f>IF(S49=FALSE,0,IF(K49="Health",IF(Y49="Start",Calculator!$F$24/24,IF(Y49=FALSE,Calculator!$F$24/24,""))))</f>
        <v>504.58333333333331</v>
      </c>
      <c r="AA49" s="91">
        <f t="shared" ref="AA49:AB49" si="51">Z49</f>
        <v>504.58333333333331</v>
      </c>
      <c r="AB49" s="91">
        <f t="shared" si="51"/>
        <v>504.58333333333331</v>
      </c>
      <c r="AC49" s="78" t="b">
        <f t="shared" si="41"/>
        <v>0</v>
      </c>
      <c r="AD49" s="12">
        <f>IF(S49=FALSE,0,IF(Data!$I$4&gt;Data!$I$1,0,IF(S49="End",($I$1-N49)+1,IF(AC49=FALSE,T49,IF(AC49="Start",(P49-$I$4)+1,0)))))</f>
        <v>14</v>
      </c>
      <c r="AE49" s="21">
        <f>(Calculator!$F$23/Data!$T$72)*Data!AD49</f>
        <v>294.23076923076928</v>
      </c>
      <c r="AF49" s="21">
        <f>IF(M49=10,(Calculator!$F$23/Data!$T$73)*Data!AD49,0)</f>
        <v>0</v>
      </c>
      <c r="AG49" s="21">
        <f>IF(L49=9,(Calculator!$F$23/Data!$T$74)*Data!AD49,0)</f>
        <v>0</v>
      </c>
    </row>
    <row r="50" spans="6:33" x14ac:dyDescent="0.25">
      <c r="F50" s="13">
        <f t="shared" si="48"/>
        <v>44780</v>
      </c>
      <c r="G50" s="9" t="s">
        <v>42</v>
      </c>
      <c r="H50" s="13">
        <f t="shared" si="42"/>
        <v>44793</v>
      </c>
      <c r="I50" s="102">
        <f t="shared" si="49"/>
        <v>44806</v>
      </c>
      <c r="J50" s="8">
        <v>5</v>
      </c>
      <c r="K50" s="8" t="s">
        <v>56</v>
      </c>
      <c r="L50" s="8">
        <v>9</v>
      </c>
      <c r="M50" s="8">
        <v>10</v>
      </c>
      <c r="N50" s="80">
        <f t="shared" si="43"/>
        <v>44780</v>
      </c>
      <c r="O50" s="14" t="s">
        <v>42</v>
      </c>
      <c r="P50" s="19">
        <f t="shared" si="44"/>
        <v>44793</v>
      </c>
      <c r="Q50" s="12">
        <f t="shared" si="45"/>
        <v>44806</v>
      </c>
      <c r="R50" s="15" t="b">
        <f t="shared" si="46"/>
        <v>0</v>
      </c>
      <c r="S50" s="15" t="str">
        <f>IF(Calculator!$E$11="","",IF($I$1&gt;=N50,IF($I$1&lt;=P50,"End","")))</f>
        <v/>
      </c>
      <c r="T50" s="12">
        <f t="shared" si="39"/>
        <v>14</v>
      </c>
      <c r="U50" s="12">
        <f>IF(S50=FALSE,0,IF(S50="End",($I$1-N50)+1,IF(R50=FALSE,T50,IF(R50="Start",(P50-$I$2)+1,0))))</f>
        <v>14</v>
      </c>
      <c r="V50" s="85">
        <f>(Calculator!$F$15/Data!$T$72)*Data!U50</f>
        <v>3461.5384615384614</v>
      </c>
      <c r="W50" s="86">
        <f>IF(M50=10,(Calculator!$F$15/Data!$T$73)*Data!U50,0)</f>
        <v>4090.9090909090905</v>
      </c>
      <c r="X50" s="87">
        <f>IF(L50=9,(Calculator!$F$15/Data!$T$74)*Data!U50,0)</f>
        <v>4500</v>
      </c>
      <c r="Y50" s="78" t="b">
        <f>IF(Calculator!$E$7="Current",R50,IF(YEAR(I50)&amp;" "&amp;MONTH(I50)=$J$3,"Start",IF(I50&gt;$H$3,FALSE,"")))</f>
        <v>0</v>
      </c>
      <c r="Z50" s="91">
        <f>IF(S50=FALSE,0,IF(K50="Health",IF(Y50="Start",Calculator!$F$24/24,IF(Y50=FALSE,Calculator!$F$24/24,""))))</f>
        <v>504.58333333333331</v>
      </c>
      <c r="AA50" s="91">
        <f t="shared" ref="AA50:AB50" si="52">Z50</f>
        <v>504.58333333333331</v>
      </c>
      <c r="AB50" s="91">
        <f t="shared" si="52"/>
        <v>504.58333333333331</v>
      </c>
      <c r="AC50" s="78" t="b">
        <f t="shared" si="41"/>
        <v>0</v>
      </c>
      <c r="AD50" s="12">
        <f>IF(S50=FALSE,0,IF(Data!$I$4&gt;Data!$I$1,0,IF(S50="End",($I$1-N50)+1,IF(AC50=FALSE,T50,IF(AC50="Start",(P50-$I$4)+1,0)))))</f>
        <v>14</v>
      </c>
      <c r="AE50" s="21">
        <f>(Calculator!$F$23/Data!$T$72)*Data!AD50</f>
        <v>294.23076923076928</v>
      </c>
      <c r="AF50" s="21">
        <f>IF(M50=10,(Calculator!$F$23/Data!$T$73)*Data!AD50,0)</f>
        <v>347.72727272727275</v>
      </c>
      <c r="AG50" s="21">
        <f>IF(L50=9,(Calculator!$F$23/Data!$T$74)*Data!AD50,0)</f>
        <v>382.5</v>
      </c>
    </row>
    <row r="51" spans="6:33" x14ac:dyDescent="0.25">
      <c r="F51" s="13">
        <f t="shared" si="48"/>
        <v>44794</v>
      </c>
      <c r="G51" s="9" t="s">
        <v>42</v>
      </c>
      <c r="H51" s="13">
        <f t="shared" si="42"/>
        <v>44807</v>
      </c>
      <c r="I51" s="102">
        <f t="shared" si="49"/>
        <v>44820</v>
      </c>
      <c r="J51" s="8">
        <v>6</v>
      </c>
      <c r="K51" s="8" t="s">
        <v>56</v>
      </c>
      <c r="L51" s="8">
        <v>9</v>
      </c>
      <c r="M51" s="8">
        <v>10</v>
      </c>
      <c r="N51" s="80">
        <f t="shared" si="43"/>
        <v>44794</v>
      </c>
      <c r="O51" s="14" t="s">
        <v>42</v>
      </c>
      <c r="P51" s="19">
        <f t="shared" si="44"/>
        <v>44807</v>
      </c>
      <c r="Q51" s="12">
        <f t="shared" si="45"/>
        <v>44820</v>
      </c>
      <c r="R51" s="15" t="b">
        <f t="shared" si="46"/>
        <v>0</v>
      </c>
      <c r="S51" s="15" t="str">
        <f>IF(Calculator!$E$11="","",IF($I$1&gt;=N51,IF($I$1&lt;=P51,"End","")))</f>
        <v/>
      </c>
      <c r="T51" s="12">
        <f t="shared" si="39"/>
        <v>14</v>
      </c>
      <c r="U51" s="12">
        <f t="shared" ref="U51:U71" si="53">IF(S51=FALSE,0,IF(S51="End",($I$1-N51)+1,IF(R51=FALSE,T51,IF(R51="Start",(P51-$I$2)+1,0))))</f>
        <v>14</v>
      </c>
      <c r="V51" s="85">
        <f>(Calculator!$F$15/Data!$T$72)*Data!U51</f>
        <v>3461.5384615384614</v>
      </c>
      <c r="W51" s="86">
        <f>IF(M51=10,(Calculator!$F$15/Data!$T$73)*Data!U51,0)</f>
        <v>4090.9090909090905</v>
      </c>
      <c r="X51" s="87">
        <f>IF(L51=9,(Calculator!$F$15/Data!$T$74)*Data!U51,0)</f>
        <v>4500</v>
      </c>
      <c r="Y51" s="78" t="b">
        <f>IF(Calculator!$E$7="Current",R51,IF(YEAR(I51)&amp;" "&amp;MONTH(I51)=$J$3,"Start",IF(I51&gt;$H$3,FALSE,"")))</f>
        <v>0</v>
      </c>
      <c r="Z51" s="91">
        <f>IF(S51=FALSE,0,IF(K51="Health",IF(Y51="Start",Calculator!$F$24/24,IF(Y51=FALSE,Calculator!$F$24/24,""))))</f>
        <v>504.58333333333331</v>
      </c>
      <c r="AA51" s="91">
        <f t="shared" ref="AA51:AB51" si="54">Z51</f>
        <v>504.58333333333331</v>
      </c>
      <c r="AB51" s="91">
        <f t="shared" si="54"/>
        <v>504.58333333333331</v>
      </c>
      <c r="AC51" s="78" t="b">
        <f t="shared" si="41"/>
        <v>0</v>
      </c>
      <c r="AD51" s="12">
        <f>IF(S51=FALSE,0,IF(Data!$I$4&gt;Data!$I$1,0,IF(S51="End",($I$1-N51)+1,IF(AC51=FALSE,T51,IF(AC51="Start",(P51-$I$4)+1,0)))))</f>
        <v>14</v>
      </c>
      <c r="AE51" s="21">
        <f>(Calculator!$F$23/Data!$T$72)*Data!AD51</f>
        <v>294.23076923076928</v>
      </c>
      <c r="AF51" s="21">
        <f>IF(M51=10,(Calculator!$F$23/Data!$T$73)*Data!AD51,0)</f>
        <v>347.72727272727275</v>
      </c>
      <c r="AG51" s="21">
        <f>IF(L51=9,(Calculator!$F$23/Data!$T$74)*Data!AD51,0)</f>
        <v>382.5</v>
      </c>
    </row>
    <row r="52" spans="6:33" x14ac:dyDescent="0.25">
      <c r="F52" s="13">
        <f t="shared" si="48"/>
        <v>44808</v>
      </c>
      <c r="G52" s="9" t="s">
        <v>42</v>
      </c>
      <c r="H52" s="13">
        <f t="shared" si="42"/>
        <v>44821</v>
      </c>
      <c r="I52" s="102">
        <f t="shared" si="49"/>
        <v>44834</v>
      </c>
      <c r="J52" s="8">
        <v>7</v>
      </c>
      <c r="K52" s="8"/>
      <c r="L52" s="8">
        <v>9</v>
      </c>
      <c r="M52" s="8">
        <v>10</v>
      </c>
      <c r="N52" s="80">
        <f t="shared" si="43"/>
        <v>44808</v>
      </c>
      <c r="O52" s="14" t="s">
        <v>42</v>
      </c>
      <c r="P52" s="19">
        <f t="shared" si="44"/>
        <v>44821</v>
      </c>
      <c r="Q52" s="12">
        <f t="shared" si="45"/>
        <v>44834</v>
      </c>
      <c r="R52" s="15" t="b">
        <f t="shared" si="46"/>
        <v>0</v>
      </c>
      <c r="S52" s="15" t="str">
        <f>IF(Calculator!$E$11="","",IF($I$1&gt;=N52,IF($I$1&lt;=P52,"End","")))</f>
        <v/>
      </c>
      <c r="T52" s="12">
        <f t="shared" si="39"/>
        <v>14</v>
      </c>
      <c r="U52" s="12">
        <f t="shared" si="53"/>
        <v>14</v>
      </c>
      <c r="V52" s="85">
        <f>(Calculator!$F$15/Data!$T$72)*Data!U52</f>
        <v>3461.5384615384614</v>
      </c>
      <c r="W52" s="86">
        <f>IF(M52=10,(Calculator!$F$15/Data!$T$73)*Data!U52,0)</f>
        <v>4090.9090909090905</v>
      </c>
      <c r="X52" s="87">
        <f>IF(L52=9,(Calculator!$F$15/Data!$T$74)*Data!U52,0)</f>
        <v>4500</v>
      </c>
      <c r="Y52" s="78" t="b">
        <f>IF(Calculator!$E$7="Current",R52,IF(YEAR(I52)&amp;" "&amp;MONTH(I52)=$J$3,"Start",IF(I52&gt;$H$3,FALSE,"")))</f>
        <v>0</v>
      </c>
      <c r="Z52" s="91" t="b">
        <f>IF(S52=FALSE,0,IF(K52="Health",IF(Y52="Start",Calculator!$F$24/24,IF(Y52=FALSE,Calculator!$F$24/24,""))))</f>
        <v>0</v>
      </c>
      <c r="AA52" s="91" t="b">
        <f t="shared" ref="AA52:AB52" si="55">Z52</f>
        <v>0</v>
      </c>
      <c r="AB52" s="91" t="b">
        <f t="shared" si="55"/>
        <v>0</v>
      </c>
      <c r="AC52" s="78" t="b">
        <f t="shared" si="41"/>
        <v>0</v>
      </c>
      <c r="AD52" s="12">
        <f>IF(S52=FALSE,0,IF(Data!$I$4&gt;Data!$I$1,0,IF(S52="End",($I$1-N52)+1,IF(AC52=FALSE,T52,IF(AC52="Start",(P52-$I$4)+1,0)))))</f>
        <v>14</v>
      </c>
      <c r="AE52" s="21">
        <f>(Calculator!$F$23/Data!$T$72)*Data!AD52</f>
        <v>294.23076923076928</v>
      </c>
      <c r="AF52" s="21">
        <f>IF(M52=10,(Calculator!$F$23/Data!$T$73)*Data!AD52,0)</f>
        <v>347.72727272727275</v>
      </c>
      <c r="AG52" s="21">
        <f>IF(L52=9,(Calculator!$F$23/Data!$T$74)*Data!AD52,0)</f>
        <v>382.5</v>
      </c>
    </row>
    <row r="53" spans="6:33" x14ac:dyDescent="0.25">
      <c r="F53" s="13">
        <f t="shared" si="48"/>
        <v>44822</v>
      </c>
      <c r="G53" s="9" t="s">
        <v>42</v>
      </c>
      <c r="H53" s="13">
        <f t="shared" si="42"/>
        <v>44835</v>
      </c>
      <c r="I53" s="102">
        <f t="shared" si="49"/>
        <v>44848</v>
      </c>
      <c r="J53" s="8">
        <v>8</v>
      </c>
      <c r="K53" s="8" t="s">
        <v>56</v>
      </c>
      <c r="L53" s="8">
        <v>9</v>
      </c>
      <c r="M53" s="8">
        <v>10</v>
      </c>
      <c r="N53" s="80">
        <f t="shared" si="43"/>
        <v>44822</v>
      </c>
      <c r="O53" s="14" t="s">
        <v>42</v>
      </c>
      <c r="P53" s="19">
        <f t="shared" si="44"/>
        <v>44835</v>
      </c>
      <c r="Q53" s="12">
        <f t="shared" si="45"/>
        <v>44848</v>
      </c>
      <c r="R53" s="15" t="b">
        <f t="shared" si="46"/>
        <v>0</v>
      </c>
      <c r="S53" s="15" t="str">
        <f>IF(Calculator!$E$11="","",IF($I$1&gt;=N53,IF($I$1&lt;=P53,"End","")))</f>
        <v/>
      </c>
      <c r="T53" s="12">
        <f t="shared" si="39"/>
        <v>14</v>
      </c>
      <c r="U53" s="12">
        <f t="shared" si="53"/>
        <v>14</v>
      </c>
      <c r="V53" s="85">
        <f>(Calculator!$F$15/Data!$T$72)*Data!U53</f>
        <v>3461.5384615384614</v>
      </c>
      <c r="W53" s="86">
        <f>IF(M53=10,(Calculator!$F$15/Data!$T$73)*Data!U53,0)</f>
        <v>4090.9090909090905</v>
      </c>
      <c r="X53" s="87">
        <f>IF(L53=9,(Calculator!$F$15/Data!$T$74)*Data!U53,0)</f>
        <v>4500</v>
      </c>
      <c r="Y53" s="78" t="b">
        <f>IF(Calculator!$E$7="Current",R53,IF(YEAR(I53)&amp;" "&amp;MONTH(I53)=$J$3,"Start",IF(I53&gt;$H$3,FALSE,"")))</f>
        <v>0</v>
      </c>
      <c r="Z53" s="91">
        <f>IF(S53=FALSE,0,IF(K53="Health",IF(Y53="Start",Calculator!$F$24/24,IF(Y53=FALSE,Calculator!$F$24/24,""))))</f>
        <v>504.58333333333331</v>
      </c>
      <c r="AA53" s="91">
        <f t="shared" ref="AA53:AB53" si="56">Z53</f>
        <v>504.58333333333331</v>
      </c>
      <c r="AB53" s="91">
        <f t="shared" si="56"/>
        <v>504.58333333333331</v>
      </c>
      <c r="AC53" s="78" t="b">
        <f t="shared" si="41"/>
        <v>0</v>
      </c>
      <c r="AD53" s="12">
        <f>IF(S53=FALSE,0,IF(Data!$I$4&gt;Data!$I$1,0,IF(S53="End",($I$1-N53)+1,IF(AC53=FALSE,T53,IF(AC53="Start",(P53-$I$4)+1,0)))))</f>
        <v>14</v>
      </c>
      <c r="AE53" s="21">
        <f>(Calculator!$F$23/Data!$T$72)*Data!AD53</f>
        <v>294.23076923076928</v>
      </c>
      <c r="AF53" s="21">
        <f>IF(M53=10,(Calculator!$F$23/Data!$T$73)*Data!AD53,0)</f>
        <v>347.72727272727275</v>
      </c>
      <c r="AG53" s="21">
        <f>IF(L53=9,(Calculator!$F$23/Data!$T$74)*Data!AD53,0)</f>
        <v>382.5</v>
      </c>
    </row>
    <row r="54" spans="6:33" x14ac:dyDescent="0.25">
      <c r="F54" s="13">
        <f t="shared" si="48"/>
        <v>44836</v>
      </c>
      <c r="G54" s="9" t="s">
        <v>42</v>
      </c>
      <c r="H54" s="13">
        <f t="shared" si="42"/>
        <v>44849</v>
      </c>
      <c r="I54" s="102">
        <f t="shared" si="49"/>
        <v>44862</v>
      </c>
      <c r="J54" s="8">
        <v>9</v>
      </c>
      <c r="K54" s="8" t="s">
        <v>56</v>
      </c>
      <c r="L54" s="8">
        <v>9</v>
      </c>
      <c r="M54" s="8">
        <v>10</v>
      </c>
      <c r="N54" s="80">
        <f t="shared" si="43"/>
        <v>44836</v>
      </c>
      <c r="O54" s="14" t="s">
        <v>42</v>
      </c>
      <c r="P54" s="19">
        <f t="shared" si="44"/>
        <v>44849</v>
      </c>
      <c r="Q54" s="12">
        <f t="shared" si="45"/>
        <v>44862</v>
      </c>
      <c r="R54" s="15" t="b">
        <f t="shared" si="46"/>
        <v>0</v>
      </c>
      <c r="S54" s="15" t="str">
        <f>IF(Calculator!$E$11="","",IF($I$1&gt;=N54,IF($I$1&lt;=P54,"End","")))</f>
        <v/>
      </c>
      <c r="T54" s="12">
        <f>(P54-N54)+1</f>
        <v>14</v>
      </c>
      <c r="U54" s="12">
        <f t="shared" si="53"/>
        <v>14</v>
      </c>
      <c r="V54" s="85">
        <f>(Calculator!$F$15/Data!$T$72)*Data!U54</f>
        <v>3461.5384615384614</v>
      </c>
      <c r="W54" s="86">
        <f>IF(M54=10,(Calculator!$F$15/Data!$T$73)*Data!U54,0)</f>
        <v>4090.9090909090905</v>
      </c>
      <c r="X54" s="87">
        <f>IF(L54=9,(Calculator!$F$15/Data!$T$74)*Data!U54,0)</f>
        <v>4500</v>
      </c>
      <c r="Y54" s="78" t="b">
        <f>IF(Calculator!$E$7="Current",R54,IF(YEAR(I54)&amp;" "&amp;MONTH(I54)=$J$3,"Start",IF(I54&gt;$H$3,FALSE,"")))</f>
        <v>0</v>
      </c>
      <c r="Z54" s="91">
        <f>IF(S54=FALSE,0,IF(K54="Health",IF(Y54="Start",Calculator!$F$24/24,IF(Y54=FALSE,Calculator!$F$24/24,""))))</f>
        <v>504.58333333333331</v>
      </c>
      <c r="AA54" s="91">
        <f t="shared" ref="AA54:AB54" si="57">Z54</f>
        <v>504.58333333333331</v>
      </c>
      <c r="AB54" s="91">
        <f t="shared" si="57"/>
        <v>504.58333333333331</v>
      </c>
      <c r="AC54" s="78" t="b">
        <f t="shared" si="41"/>
        <v>0</v>
      </c>
      <c r="AD54" s="12">
        <f>IF(S54=FALSE,0,IF(Data!$I$4&gt;Data!$I$1,0,IF(S54="End",($I$1-N54)+1,IF(AC54=FALSE,T54,IF(AC54="Start",(P54-$I$4)+1,0)))))</f>
        <v>14</v>
      </c>
      <c r="AE54" s="21">
        <f>(Calculator!$F$23/Data!$T$72)*Data!AD54</f>
        <v>294.23076923076928</v>
      </c>
      <c r="AF54" s="21">
        <f>IF(M54=10,(Calculator!$F$23/Data!$T$73)*Data!AD54,0)</f>
        <v>347.72727272727275</v>
      </c>
      <c r="AG54" s="21">
        <f>IF(L54=9,(Calculator!$F$23/Data!$T$74)*Data!AD54,0)</f>
        <v>382.5</v>
      </c>
    </row>
    <row r="55" spans="6:33" x14ac:dyDescent="0.25">
      <c r="F55" s="13">
        <f t="shared" si="48"/>
        <v>44850</v>
      </c>
      <c r="G55" s="9" t="s">
        <v>42</v>
      </c>
      <c r="H55" s="13">
        <f t="shared" si="42"/>
        <v>44863</v>
      </c>
      <c r="I55" s="102">
        <f t="shared" si="49"/>
        <v>44876</v>
      </c>
      <c r="J55" s="8">
        <v>10</v>
      </c>
      <c r="K55" s="8" t="s">
        <v>56</v>
      </c>
      <c r="L55" s="8">
        <v>9</v>
      </c>
      <c r="M55" s="8">
        <v>10</v>
      </c>
      <c r="N55" s="80">
        <f t="shared" si="43"/>
        <v>44850</v>
      </c>
      <c r="O55" s="14" t="s">
        <v>42</v>
      </c>
      <c r="P55" s="19">
        <f t="shared" si="44"/>
        <v>44863</v>
      </c>
      <c r="Q55" s="12">
        <f t="shared" si="45"/>
        <v>44876</v>
      </c>
      <c r="R55" s="15" t="b">
        <f t="shared" si="46"/>
        <v>0</v>
      </c>
      <c r="S55" s="15" t="str">
        <f>IF(Calculator!$E$11="","",IF($I$1&gt;=N55,IF($I$1&lt;=P55,"End","")))</f>
        <v/>
      </c>
      <c r="T55" s="12">
        <f t="shared" ref="T55:T71" si="58">(P55-N55)+1</f>
        <v>14</v>
      </c>
      <c r="U55" s="12">
        <f t="shared" si="53"/>
        <v>14</v>
      </c>
      <c r="V55" s="85">
        <f>(Calculator!$F$15/Data!$T$72)*Data!U55</f>
        <v>3461.5384615384614</v>
      </c>
      <c r="W55" s="86">
        <f>IF(M55=10,(Calculator!$F$15/Data!$T$73)*Data!U55,0)</f>
        <v>4090.9090909090905</v>
      </c>
      <c r="X55" s="87">
        <f>IF(L55=9,(Calculator!$F$15/Data!$T$74)*Data!U55,0)</f>
        <v>4500</v>
      </c>
      <c r="Y55" s="78" t="b">
        <f>IF(Calculator!$E$7="Current",R55,IF(YEAR(I55)&amp;" "&amp;MONTH(I55)=$J$3,"Start",IF(I55&gt;$H$3,FALSE,"")))</f>
        <v>0</v>
      </c>
      <c r="Z55" s="91">
        <f>IF(S55=FALSE,0,IF(K55="Health",IF(Y55="Start",Calculator!$F$24/24,IF(Y55=FALSE,Calculator!$F$24/24,""))))</f>
        <v>504.58333333333331</v>
      </c>
      <c r="AA55" s="91">
        <f t="shared" ref="AA55:AB55" si="59">Z55</f>
        <v>504.58333333333331</v>
      </c>
      <c r="AB55" s="91">
        <f t="shared" si="59"/>
        <v>504.58333333333331</v>
      </c>
      <c r="AC55" s="78" t="b">
        <f t="shared" si="41"/>
        <v>0</v>
      </c>
      <c r="AD55" s="12">
        <f>IF(S55=FALSE,0,IF(Data!$I$4&gt;Data!$I$1,0,IF(S55="End",($I$1-N55)+1,IF(AC55=FALSE,T55,IF(AC55="Start",(P55-$I$4)+1,0)))))</f>
        <v>14</v>
      </c>
      <c r="AE55" s="21">
        <f>(Calculator!$F$23/Data!$T$72)*Data!AD55</f>
        <v>294.23076923076928</v>
      </c>
      <c r="AF55" s="21">
        <f>IF(M55=10,(Calculator!$F$23/Data!$T$73)*Data!AD55,0)</f>
        <v>347.72727272727275</v>
      </c>
      <c r="AG55" s="21">
        <f>IF(L55=9,(Calculator!$F$23/Data!$T$74)*Data!AD55,0)</f>
        <v>382.5</v>
      </c>
    </row>
    <row r="56" spans="6:33" x14ac:dyDescent="0.25">
      <c r="F56" s="13">
        <f t="shared" si="48"/>
        <v>44864</v>
      </c>
      <c r="G56" s="9" t="s">
        <v>42</v>
      </c>
      <c r="H56" s="13">
        <f t="shared" si="42"/>
        <v>44877</v>
      </c>
      <c r="I56" s="102">
        <f t="shared" si="49"/>
        <v>44890</v>
      </c>
      <c r="J56" s="8">
        <v>11</v>
      </c>
      <c r="K56" s="8" t="s">
        <v>56</v>
      </c>
      <c r="L56" s="8">
        <v>9</v>
      </c>
      <c r="M56" s="8">
        <v>10</v>
      </c>
      <c r="N56" s="80">
        <f t="shared" si="43"/>
        <v>44864</v>
      </c>
      <c r="O56" s="14"/>
      <c r="P56" s="19">
        <f t="shared" si="44"/>
        <v>44877</v>
      </c>
      <c r="Q56" s="12">
        <f t="shared" si="45"/>
        <v>44890</v>
      </c>
      <c r="R56" s="15" t="b">
        <f t="shared" si="46"/>
        <v>0</v>
      </c>
      <c r="S56" s="15" t="str">
        <f>IF(Calculator!$E$11="","",IF($I$1&gt;=N56,IF($I$1&lt;=P56,"End","")))</f>
        <v/>
      </c>
      <c r="T56" s="12">
        <f t="shared" si="58"/>
        <v>14</v>
      </c>
      <c r="U56" s="12">
        <f t="shared" si="53"/>
        <v>14</v>
      </c>
      <c r="V56" s="85">
        <f>(Calculator!$F$15/Data!$T$72)*Data!U56</f>
        <v>3461.5384615384614</v>
      </c>
      <c r="W56" s="86">
        <f>IF(M56=10,(Calculator!$F$15/Data!$T$73)*Data!U56,0)</f>
        <v>4090.9090909090905</v>
      </c>
      <c r="X56" s="87">
        <f>IF(L56=9,(Calculator!$F$15/Data!$T$74)*Data!U56,0)</f>
        <v>4500</v>
      </c>
      <c r="Y56" s="78" t="b">
        <f>IF(Calculator!$E$7="Current",R56,IF(YEAR(I56)&amp;" "&amp;MONTH(I56)=$J$3,"Start",IF(I56&gt;$H$3,FALSE,"")))</f>
        <v>0</v>
      </c>
      <c r="Z56" s="91">
        <f>IF(S56=FALSE,0,IF(K56="Health",IF(Y56="Start",Calculator!$F$24/24,IF(Y56=FALSE,Calculator!$F$24/24,""))))</f>
        <v>504.58333333333331</v>
      </c>
      <c r="AA56" s="91">
        <f t="shared" ref="AA56:AB56" si="60">Z56</f>
        <v>504.58333333333331</v>
      </c>
      <c r="AB56" s="91">
        <f t="shared" si="60"/>
        <v>504.58333333333331</v>
      </c>
      <c r="AC56" s="78" t="b">
        <f t="shared" si="41"/>
        <v>0</v>
      </c>
      <c r="AD56" s="12">
        <f>IF(S56=FALSE,0,IF(Data!$I$4&gt;Data!$I$1,0,IF(S56="End",($I$1-N56)+1,IF(AC56=FALSE,T56,IF(AC56="Start",(P56-$I$4)+1,0)))))</f>
        <v>14</v>
      </c>
      <c r="AE56" s="21">
        <f>(Calculator!$F$23/Data!$T$72)*Data!AD56</f>
        <v>294.23076923076928</v>
      </c>
      <c r="AF56" s="21">
        <f>IF(M56=10,(Calculator!$F$23/Data!$T$73)*Data!AD56,0)</f>
        <v>347.72727272727275</v>
      </c>
      <c r="AG56" s="21">
        <f>IF(L56=9,(Calculator!$F$23/Data!$T$74)*Data!AD56,0)</f>
        <v>382.5</v>
      </c>
    </row>
    <row r="57" spans="6:33" x14ac:dyDescent="0.25">
      <c r="F57" s="13">
        <f t="shared" si="48"/>
        <v>44878</v>
      </c>
      <c r="G57" s="9" t="s">
        <v>42</v>
      </c>
      <c r="H57" s="13">
        <f t="shared" si="42"/>
        <v>44891</v>
      </c>
      <c r="I57" s="102">
        <f t="shared" si="49"/>
        <v>44904</v>
      </c>
      <c r="J57" s="8">
        <v>12</v>
      </c>
      <c r="K57" s="8" t="s">
        <v>56</v>
      </c>
      <c r="L57" s="8">
        <v>9</v>
      </c>
      <c r="M57" s="8">
        <v>10</v>
      </c>
      <c r="N57" s="80">
        <f t="shared" si="43"/>
        <v>44878</v>
      </c>
      <c r="O57" s="14" t="s">
        <v>42</v>
      </c>
      <c r="P57" s="19">
        <f t="shared" si="44"/>
        <v>44891</v>
      </c>
      <c r="Q57" s="12">
        <f t="shared" si="45"/>
        <v>44904</v>
      </c>
      <c r="R57" s="15" t="b">
        <f t="shared" si="46"/>
        <v>0</v>
      </c>
      <c r="S57" s="15" t="str">
        <f>IF(Calculator!$E$11="","",IF($I$1&gt;=N57,IF($I$1&lt;=P57,"End","")))</f>
        <v/>
      </c>
      <c r="T57" s="12">
        <f t="shared" si="58"/>
        <v>14</v>
      </c>
      <c r="U57" s="12">
        <f t="shared" si="53"/>
        <v>14</v>
      </c>
      <c r="V57" s="85">
        <f>(Calculator!$F$15/Data!$T$72)*Data!U57</f>
        <v>3461.5384615384614</v>
      </c>
      <c r="W57" s="86">
        <f>IF(M57=10,(Calculator!$F$15/Data!$T$73)*Data!U57,0)</f>
        <v>4090.9090909090905</v>
      </c>
      <c r="X57" s="87">
        <f>IF(L57=9,(Calculator!$F$15/Data!$T$74)*Data!U57,0)</f>
        <v>4500</v>
      </c>
      <c r="Y57" s="78" t="b">
        <f>IF(Calculator!$E$7="Current",R57,IF(YEAR(I57)&amp;" "&amp;MONTH(I57)=$J$3,"Start",IF(I57&gt;$H$3,FALSE,"")))</f>
        <v>0</v>
      </c>
      <c r="Z57" s="91">
        <f>IF(S57=FALSE,0,IF(K57="Health",IF(Y57="Start",Calculator!$F$24/24,IF(Y57=FALSE,Calculator!$F$24/24,""))))</f>
        <v>504.58333333333331</v>
      </c>
      <c r="AA57" s="91">
        <f t="shared" ref="AA57:AB57" si="61">Z57</f>
        <v>504.58333333333331</v>
      </c>
      <c r="AB57" s="91">
        <f t="shared" si="61"/>
        <v>504.58333333333331</v>
      </c>
      <c r="AC57" s="78" t="b">
        <f t="shared" si="41"/>
        <v>0</v>
      </c>
      <c r="AD57" s="12">
        <f>IF(S57=FALSE,0,IF(Data!$I$4&gt;Data!$I$1,0,IF(S57="End",($I$1-N57)+1,IF(AC57=FALSE,T57,IF(AC57="Start",(P57-$I$4)+1,0)))))</f>
        <v>14</v>
      </c>
      <c r="AE57" s="21">
        <f>(Calculator!$F$23/Data!$T$72)*Data!AD57</f>
        <v>294.23076923076928</v>
      </c>
      <c r="AF57" s="21">
        <f>IF(M57=10,(Calculator!$F$23/Data!$T$73)*Data!AD57,0)</f>
        <v>347.72727272727275</v>
      </c>
      <c r="AG57" s="21">
        <f>IF(L57=9,(Calculator!$F$23/Data!$T$74)*Data!AD57,0)</f>
        <v>382.5</v>
      </c>
    </row>
    <row r="58" spans="6:33" x14ac:dyDescent="0.25">
      <c r="F58" s="13">
        <f t="shared" si="48"/>
        <v>44892</v>
      </c>
      <c r="G58" s="9" t="s">
        <v>42</v>
      </c>
      <c r="H58" s="13">
        <f t="shared" si="42"/>
        <v>44905</v>
      </c>
      <c r="I58" s="102">
        <f t="shared" si="49"/>
        <v>44918</v>
      </c>
      <c r="J58" s="8">
        <v>13</v>
      </c>
      <c r="K58" s="8" t="s">
        <v>56</v>
      </c>
      <c r="L58" s="8">
        <v>9</v>
      </c>
      <c r="M58" s="8">
        <v>10</v>
      </c>
      <c r="N58" s="80">
        <f t="shared" si="43"/>
        <v>44892</v>
      </c>
      <c r="O58" s="14" t="s">
        <v>42</v>
      </c>
      <c r="P58" s="19">
        <f t="shared" si="44"/>
        <v>44905</v>
      </c>
      <c r="Q58" s="12">
        <f t="shared" si="45"/>
        <v>44918</v>
      </c>
      <c r="R58" s="15" t="b">
        <f t="shared" si="46"/>
        <v>0</v>
      </c>
      <c r="S58" s="15" t="str">
        <f>IF(Calculator!$E$11="","",IF($I$1&gt;=N58,IF($I$1&lt;=P58,"End","")))</f>
        <v/>
      </c>
      <c r="T58" s="12">
        <f t="shared" si="58"/>
        <v>14</v>
      </c>
      <c r="U58" s="12">
        <f t="shared" si="53"/>
        <v>14</v>
      </c>
      <c r="V58" s="85">
        <f>(Calculator!$F$15/Data!$T$72)*Data!U58</f>
        <v>3461.5384615384614</v>
      </c>
      <c r="W58" s="86">
        <f>IF(M58=10,(Calculator!$F$15/Data!$T$73)*Data!U58,0)</f>
        <v>4090.9090909090905</v>
      </c>
      <c r="X58" s="87">
        <f>IF(L58=9,(Calculator!$F$15/Data!$T$74)*Data!U58,0)</f>
        <v>4500</v>
      </c>
      <c r="Y58" s="78" t="b">
        <f>IF(Calculator!$E$7="Current",R58,IF(YEAR(I58)&amp;" "&amp;MONTH(I58)=$J$3,"Start",IF(I58&gt;$H$3,FALSE,"")))</f>
        <v>0</v>
      </c>
      <c r="Z58" s="91">
        <f>IF(S58=FALSE,0,IF(K58="Health",IF(Y58="Start",Calculator!$F$24/24,IF(Y58=FALSE,Calculator!$F$24/24,""))))</f>
        <v>504.58333333333331</v>
      </c>
      <c r="AA58" s="91">
        <f t="shared" ref="AA58:AB58" si="62">Z58</f>
        <v>504.58333333333331</v>
      </c>
      <c r="AB58" s="91">
        <f t="shared" si="62"/>
        <v>504.58333333333331</v>
      </c>
      <c r="AC58" s="78" t="b">
        <f t="shared" si="41"/>
        <v>0</v>
      </c>
      <c r="AD58" s="12">
        <f>IF(S58=FALSE,0,IF(Data!$I$4&gt;Data!$I$1,0,IF(S58="End",($I$1-N58)+1,IF(AC58=FALSE,T58,IF(AC58="Start",(P58-$I$4)+1,0)))))</f>
        <v>14</v>
      </c>
      <c r="AE58" s="21">
        <f>(Calculator!$F$23/Data!$T$72)*Data!AD58</f>
        <v>294.23076923076928</v>
      </c>
      <c r="AF58" s="21">
        <f>IF(M58=10,(Calculator!$F$23/Data!$T$73)*Data!AD58,0)</f>
        <v>347.72727272727275</v>
      </c>
      <c r="AG58" s="21">
        <f>IF(L58=9,(Calculator!$F$23/Data!$T$74)*Data!AD58,0)</f>
        <v>382.5</v>
      </c>
    </row>
    <row r="59" spans="6:33" x14ac:dyDescent="0.25">
      <c r="F59" s="13">
        <f t="shared" si="48"/>
        <v>44906</v>
      </c>
      <c r="G59" s="9" t="s">
        <v>42</v>
      </c>
      <c r="H59" s="13">
        <f t="shared" si="42"/>
        <v>44919</v>
      </c>
      <c r="I59" s="102">
        <f t="shared" si="49"/>
        <v>44932</v>
      </c>
      <c r="J59" s="8">
        <v>14</v>
      </c>
      <c r="K59" s="8" t="s">
        <v>56</v>
      </c>
      <c r="L59" s="8">
        <v>9</v>
      </c>
      <c r="M59" s="8">
        <v>10</v>
      </c>
      <c r="N59" s="80">
        <f t="shared" si="43"/>
        <v>44906</v>
      </c>
      <c r="O59" s="14" t="s">
        <v>42</v>
      </c>
      <c r="P59" s="19">
        <f t="shared" si="44"/>
        <v>44919</v>
      </c>
      <c r="Q59" s="12">
        <f t="shared" si="45"/>
        <v>44932</v>
      </c>
      <c r="R59" s="15" t="b">
        <f t="shared" si="46"/>
        <v>0</v>
      </c>
      <c r="S59" s="15" t="str">
        <f>IF(Calculator!$E$11="","",IF($I$1&gt;=N59,IF($I$1&lt;=P59,"End","")))</f>
        <v/>
      </c>
      <c r="T59" s="12">
        <f t="shared" si="58"/>
        <v>14</v>
      </c>
      <c r="U59" s="12">
        <f t="shared" si="53"/>
        <v>14</v>
      </c>
      <c r="V59" s="85">
        <f>(Calculator!$F$15/Data!$T$72)*Data!U59</f>
        <v>3461.5384615384614</v>
      </c>
      <c r="W59" s="86">
        <f>IF(M59=10,(Calculator!$F$15/Data!$T$73)*Data!U59,0)</f>
        <v>4090.9090909090905</v>
      </c>
      <c r="X59" s="87">
        <f>IF(L59=9,(Calculator!$F$15/Data!$T$74)*Data!U59,0)</f>
        <v>4500</v>
      </c>
      <c r="Y59" s="78" t="b">
        <f>IF(Calculator!$E$7="Current",R59,IF(YEAR(I59)&amp;" "&amp;MONTH(I59)=$J$3,"Start",IF(I59&gt;$H$3,FALSE,"")))</f>
        <v>0</v>
      </c>
      <c r="Z59" s="91">
        <f>IF(S59=FALSE,0,IF(K59="Health",IF(Y59="Start",Calculator!$F$24/24,IF(Y59=FALSE,Calculator!$F$24/24,""))))</f>
        <v>504.58333333333331</v>
      </c>
      <c r="AA59" s="91">
        <f t="shared" ref="AA59:AB59" si="63">Z59</f>
        <v>504.58333333333331</v>
      </c>
      <c r="AB59" s="91">
        <f t="shared" si="63"/>
        <v>504.58333333333331</v>
      </c>
      <c r="AC59" s="78" t="b">
        <f t="shared" si="41"/>
        <v>0</v>
      </c>
      <c r="AD59" s="12">
        <f>IF(S59=FALSE,0,IF(Data!$I$4&gt;Data!$I$1,0,IF(S59="End",($I$1-N59)+1,IF(AC59=FALSE,T59,IF(AC59="Start",(P59-$I$4)+1,0)))))</f>
        <v>14</v>
      </c>
      <c r="AE59" s="21">
        <f>(Calculator!$F$23/Data!$T$72)*Data!AD59</f>
        <v>294.23076923076928</v>
      </c>
      <c r="AF59" s="21">
        <f>IF(M59=10,(Calculator!$F$23/Data!$T$73)*Data!AD59,0)</f>
        <v>347.72727272727275</v>
      </c>
      <c r="AG59" s="21">
        <f>IF(L59=9,(Calculator!$F$23/Data!$T$74)*Data!AD59,0)</f>
        <v>382.5</v>
      </c>
    </row>
    <row r="60" spans="6:33" x14ac:dyDescent="0.25">
      <c r="F60" s="13">
        <f t="shared" si="48"/>
        <v>44920</v>
      </c>
      <c r="G60" s="9" t="s">
        <v>42</v>
      </c>
      <c r="H60" s="13">
        <f t="shared" si="42"/>
        <v>44933</v>
      </c>
      <c r="I60" s="102">
        <f t="shared" si="49"/>
        <v>44946</v>
      </c>
      <c r="J60" s="8">
        <v>15</v>
      </c>
      <c r="K60" s="8" t="s">
        <v>56</v>
      </c>
      <c r="L60" s="8">
        <v>9</v>
      </c>
      <c r="M60" s="8">
        <v>10</v>
      </c>
      <c r="N60" s="80">
        <f t="shared" si="43"/>
        <v>44920</v>
      </c>
      <c r="O60" s="14" t="s">
        <v>42</v>
      </c>
      <c r="P60" s="19">
        <f t="shared" si="44"/>
        <v>44933</v>
      </c>
      <c r="Q60" s="12">
        <f t="shared" si="45"/>
        <v>44946</v>
      </c>
      <c r="R60" s="15" t="b">
        <f t="shared" si="46"/>
        <v>0</v>
      </c>
      <c r="S60" s="15" t="str">
        <f>IF(Calculator!$E$11="","",IF($I$1&gt;=N60,IF($I$1&lt;=P60,"End","")))</f>
        <v/>
      </c>
      <c r="T60" s="12">
        <f t="shared" si="58"/>
        <v>14</v>
      </c>
      <c r="U60" s="12">
        <f t="shared" si="53"/>
        <v>14</v>
      </c>
      <c r="V60" s="85">
        <f>(Calculator!$F$15/Data!$T$72)*Data!U60</f>
        <v>3461.5384615384614</v>
      </c>
      <c r="W60" s="86">
        <f>IF(M60=10,(Calculator!$F$15/Data!$T$73)*Data!U60,0)</f>
        <v>4090.9090909090905</v>
      </c>
      <c r="X60" s="87">
        <f>IF(L60=9,(Calculator!$F$15/Data!$T$74)*Data!U60,0)</f>
        <v>4500</v>
      </c>
      <c r="Y60" s="78" t="b">
        <f>IF(Calculator!$E$7="Current",R60,IF(YEAR(I60)&amp;" "&amp;MONTH(I60)=$J$3,"Start",IF(I60&gt;$H$3,FALSE,"")))</f>
        <v>0</v>
      </c>
      <c r="Z60" s="91">
        <f>IF(S60=FALSE,0,IF(K60="Health",IF(Y60="Start",Calculator!$F$24/24,IF(Y60=FALSE,Calculator!$F$24/24,""))))</f>
        <v>504.58333333333331</v>
      </c>
      <c r="AA60" s="91">
        <f t="shared" ref="AA60:AB60" si="64">Z60</f>
        <v>504.58333333333331</v>
      </c>
      <c r="AB60" s="91">
        <f t="shared" si="64"/>
        <v>504.58333333333331</v>
      </c>
      <c r="AC60" s="78" t="b">
        <f t="shared" si="41"/>
        <v>0</v>
      </c>
      <c r="AD60" s="12">
        <f>IF(S60=FALSE,0,IF(Data!$I$4&gt;Data!$I$1,0,IF(S60="End",($I$1-N60)+1,IF(AC60=FALSE,T60,IF(AC60="Start",(P60-$I$4)+1,0)))))</f>
        <v>14</v>
      </c>
      <c r="AE60" s="21">
        <f>(Calculator!$F$23/Data!$T$72)*Data!AD60</f>
        <v>294.23076923076928</v>
      </c>
      <c r="AF60" s="21">
        <f>IF(M60=10,(Calculator!$F$23/Data!$T$73)*Data!AD60,0)</f>
        <v>347.72727272727275</v>
      </c>
      <c r="AG60" s="21">
        <f>IF(L60=9,(Calculator!$F$23/Data!$T$74)*Data!AD60,0)</f>
        <v>382.5</v>
      </c>
    </row>
    <row r="61" spans="6:33" x14ac:dyDescent="0.25">
      <c r="F61" s="13">
        <f t="shared" si="48"/>
        <v>44934</v>
      </c>
      <c r="G61" s="9" t="s">
        <v>42</v>
      </c>
      <c r="H61" s="13">
        <f t="shared" si="42"/>
        <v>44947</v>
      </c>
      <c r="I61" s="102">
        <f t="shared" si="49"/>
        <v>44960</v>
      </c>
      <c r="J61" s="8">
        <v>16</v>
      </c>
      <c r="K61" s="8" t="s">
        <v>56</v>
      </c>
      <c r="L61" s="8">
        <v>9</v>
      </c>
      <c r="M61" s="8">
        <v>10</v>
      </c>
      <c r="N61" s="80">
        <f t="shared" si="43"/>
        <v>44934</v>
      </c>
      <c r="O61" s="14" t="s">
        <v>42</v>
      </c>
      <c r="P61" s="19">
        <f t="shared" si="44"/>
        <v>44947</v>
      </c>
      <c r="Q61" s="12">
        <f t="shared" si="45"/>
        <v>44960</v>
      </c>
      <c r="R61" s="15" t="b">
        <f t="shared" si="46"/>
        <v>0</v>
      </c>
      <c r="S61" s="15" t="str">
        <f>IF(Calculator!$E$11="","",IF($I$1&gt;=N61,IF($I$1&lt;=P61,"End","")))</f>
        <v/>
      </c>
      <c r="T61" s="12">
        <f t="shared" si="58"/>
        <v>14</v>
      </c>
      <c r="U61" s="12">
        <f t="shared" si="53"/>
        <v>14</v>
      </c>
      <c r="V61" s="85">
        <f>(Calculator!$F$15/Data!$T$72)*Data!U61</f>
        <v>3461.5384615384614</v>
      </c>
      <c r="W61" s="86">
        <f>IF(M61=10,(Calculator!$F$15/Data!$T$73)*Data!U61,0)</f>
        <v>4090.9090909090905</v>
      </c>
      <c r="X61" s="87">
        <f>IF(L61=9,(Calculator!$F$15/Data!$T$74)*Data!U61,0)</f>
        <v>4500</v>
      </c>
      <c r="Y61" s="78" t="b">
        <f>IF(Calculator!$E$7="Current",R61,IF(YEAR(I61)&amp;" "&amp;MONTH(I61)=$J$3,"Start",IF(I61&gt;$H$3,FALSE,"")))</f>
        <v>0</v>
      </c>
      <c r="Z61" s="91">
        <f>IF(S61=FALSE,0,IF(K61="Health",IF(Y61="Start",Calculator!$F$24/24,IF(Y61=FALSE,Calculator!$F$24/24,""))))</f>
        <v>504.58333333333331</v>
      </c>
      <c r="AA61" s="91">
        <f t="shared" ref="AA61:AB61" si="65">Z61</f>
        <v>504.58333333333331</v>
      </c>
      <c r="AB61" s="91">
        <f t="shared" si="65"/>
        <v>504.58333333333331</v>
      </c>
      <c r="AC61" s="78" t="b">
        <f t="shared" si="41"/>
        <v>0</v>
      </c>
      <c r="AD61" s="12">
        <f>IF(S61=FALSE,0,IF(Data!$I$4&gt;Data!$I$1,0,IF(S61="End",($I$1-N61)+1,IF(AC61=FALSE,T61,IF(AC61="Start",(P61-$I$4)+1,0)))))</f>
        <v>14</v>
      </c>
      <c r="AE61" s="21">
        <f>(Calculator!$F$23/Data!$T$72)*Data!AD61</f>
        <v>294.23076923076928</v>
      </c>
      <c r="AF61" s="21">
        <f>IF(M61=10,(Calculator!$F$23/Data!$T$73)*Data!AD61,0)</f>
        <v>347.72727272727275</v>
      </c>
      <c r="AG61" s="21">
        <f>IF(L61=9,(Calculator!$F$23/Data!$T$74)*Data!AD61,0)</f>
        <v>382.5</v>
      </c>
    </row>
    <row r="62" spans="6:33" x14ac:dyDescent="0.25">
      <c r="F62" s="13">
        <f t="shared" si="48"/>
        <v>44948</v>
      </c>
      <c r="G62" s="9" t="s">
        <v>42</v>
      </c>
      <c r="H62" s="13">
        <f t="shared" si="42"/>
        <v>44961</v>
      </c>
      <c r="I62" s="102">
        <f t="shared" si="49"/>
        <v>44974</v>
      </c>
      <c r="J62" s="8">
        <v>17</v>
      </c>
      <c r="K62" s="8" t="s">
        <v>56</v>
      </c>
      <c r="L62" s="8">
        <v>9</v>
      </c>
      <c r="M62" s="8">
        <v>10</v>
      </c>
      <c r="N62" s="80">
        <f t="shared" si="43"/>
        <v>44948</v>
      </c>
      <c r="O62" s="14" t="s">
        <v>42</v>
      </c>
      <c r="P62" s="19">
        <f t="shared" si="44"/>
        <v>44961</v>
      </c>
      <c r="Q62" s="12">
        <f t="shared" si="45"/>
        <v>44974</v>
      </c>
      <c r="R62" s="15" t="b">
        <f t="shared" si="46"/>
        <v>0</v>
      </c>
      <c r="S62" s="15" t="str">
        <f>IF(Calculator!$E$11="","",IF($I$1&gt;=N62,IF($I$1&lt;=P62,"End","")))</f>
        <v/>
      </c>
      <c r="T62" s="12">
        <f t="shared" si="58"/>
        <v>14</v>
      </c>
      <c r="U62" s="12">
        <f t="shared" si="53"/>
        <v>14</v>
      </c>
      <c r="V62" s="85">
        <f>(Calculator!$F$15/Data!$T$72)*Data!U62</f>
        <v>3461.5384615384614</v>
      </c>
      <c r="W62" s="86">
        <f>IF(M62=10,(Calculator!$F$15/Data!$T$73)*Data!U62,0)</f>
        <v>4090.9090909090905</v>
      </c>
      <c r="X62" s="87">
        <f>IF(L62=9,(Calculator!$F$15/Data!$T$74)*Data!U62,0)</f>
        <v>4500</v>
      </c>
      <c r="Y62" s="78" t="b">
        <f>IF(Calculator!$E$7="Current",R62,IF(YEAR(I62)&amp;" "&amp;MONTH(I62)=$J$3,"Start",IF(I62&gt;$H$3,FALSE,"")))</f>
        <v>0</v>
      </c>
      <c r="Z62" s="91">
        <f>IF(S62=FALSE,0,IF(K62="Health",IF(Y62="Start",Calculator!$F$24/24,IF(Y62=FALSE,Calculator!$F$24/24,""))))</f>
        <v>504.58333333333331</v>
      </c>
      <c r="AA62" s="91">
        <f t="shared" ref="AA62:AB62" si="66">Z62</f>
        <v>504.58333333333331</v>
      </c>
      <c r="AB62" s="91">
        <f t="shared" si="66"/>
        <v>504.58333333333331</v>
      </c>
      <c r="AC62" s="78" t="b">
        <f t="shared" si="41"/>
        <v>0</v>
      </c>
      <c r="AD62" s="12">
        <f>IF(S62=FALSE,0,IF(Data!$I$4&gt;Data!$I$1,0,IF(S62="End",($I$1-N62)+1,IF(AC62=FALSE,T62,IF(AC62="Start",(P62-$I$4)+1,0)))))</f>
        <v>14</v>
      </c>
      <c r="AE62" s="21">
        <f>(Calculator!$F$23/Data!$T$72)*Data!AD62</f>
        <v>294.23076923076928</v>
      </c>
      <c r="AF62" s="21">
        <f>IF(M62=10,(Calculator!$F$23/Data!$T$73)*Data!AD62,0)</f>
        <v>347.72727272727275</v>
      </c>
      <c r="AG62" s="21">
        <f>IF(L62=9,(Calculator!$F$23/Data!$T$74)*Data!AD62,0)</f>
        <v>382.5</v>
      </c>
    </row>
    <row r="63" spans="6:33" x14ac:dyDescent="0.25">
      <c r="F63" s="13">
        <f t="shared" si="48"/>
        <v>44962</v>
      </c>
      <c r="G63" s="9" t="s">
        <v>42</v>
      </c>
      <c r="H63" s="13">
        <f t="shared" si="42"/>
        <v>44975</v>
      </c>
      <c r="I63" s="102">
        <f t="shared" si="49"/>
        <v>44988</v>
      </c>
      <c r="J63" s="8">
        <v>18</v>
      </c>
      <c r="K63" s="8" t="s">
        <v>56</v>
      </c>
      <c r="L63" s="8">
        <v>9</v>
      </c>
      <c r="M63" s="8">
        <v>10</v>
      </c>
      <c r="N63" s="80">
        <f t="shared" si="43"/>
        <v>44962</v>
      </c>
      <c r="O63" s="14" t="s">
        <v>42</v>
      </c>
      <c r="P63" s="19">
        <f t="shared" si="44"/>
        <v>44975</v>
      </c>
      <c r="Q63" s="12">
        <f t="shared" si="45"/>
        <v>44988</v>
      </c>
      <c r="R63" s="15" t="b">
        <f t="shared" si="46"/>
        <v>0</v>
      </c>
      <c r="S63" s="15" t="str">
        <f>IF(Calculator!$E$11="","",IF($I$1&gt;=N63,IF($I$1&lt;=P63,"End","")))</f>
        <v/>
      </c>
      <c r="T63" s="12">
        <f t="shared" si="58"/>
        <v>14</v>
      </c>
      <c r="U63" s="12">
        <f t="shared" si="53"/>
        <v>14</v>
      </c>
      <c r="V63" s="85">
        <f>(Calculator!$F$15/Data!$T$72)*Data!U63</f>
        <v>3461.5384615384614</v>
      </c>
      <c r="W63" s="86">
        <f>IF(M63=10,(Calculator!$F$15/Data!$T$73)*Data!U63,0)</f>
        <v>4090.9090909090905</v>
      </c>
      <c r="X63" s="87">
        <f>IF(L63=9,(Calculator!$F$15/Data!$T$74)*Data!U63,0)</f>
        <v>4500</v>
      </c>
      <c r="Y63" s="78" t="b">
        <f>IF(Calculator!$E$7="Current",R63,IF(YEAR(I63)&amp;" "&amp;MONTH(I63)=$J$3,"Start",IF(I63&gt;$H$3,FALSE,"")))</f>
        <v>0</v>
      </c>
      <c r="Z63" s="91">
        <f>IF(S63=FALSE,0,IF(K63="Health",IF(Y63="Start",Calculator!$F$24/24,IF(Y63=FALSE,Calculator!$F$24/24,""))))</f>
        <v>504.58333333333331</v>
      </c>
      <c r="AA63" s="91">
        <f t="shared" ref="AA63:AB63" si="67">Z63</f>
        <v>504.58333333333331</v>
      </c>
      <c r="AB63" s="91">
        <f t="shared" si="67"/>
        <v>504.58333333333331</v>
      </c>
      <c r="AC63" s="78" t="b">
        <f t="shared" si="41"/>
        <v>0</v>
      </c>
      <c r="AD63" s="12">
        <f>IF(S63=FALSE,0,IF(Data!$I$4&gt;Data!$I$1,0,IF(S63="End",($I$1-N63)+1,IF(AC63=FALSE,T63,IF(AC63="Start",(P63-$I$4)+1,0)))))</f>
        <v>14</v>
      </c>
      <c r="AE63" s="21">
        <f>(Calculator!$F$23/Data!$T$72)*Data!AD63</f>
        <v>294.23076923076928</v>
      </c>
      <c r="AF63" s="21">
        <f>IF(M63=10,(Calculator!$F$23/Data!$T$73)*Data!AD63,0)</f>
        <v>347.72727272727275</v>
      </c>
      <c r="AG63" s="21">
        <f>IF(L63=9,(Calculator!$F$23/Data!$T$74)*Data!AD63,0)</f>
        <v>382.5</v>
      </c>
    </row>
    <row r="64" spans="6:33" x14ac:dyDescent="0.25">
      <c r="F64" s="13">
        <f t="shared" si="48"/>
        <v>44976</v>
      </c>
      <c r="G64" s="9" t="s">
        <v>42</v>
      </c>
      <c r="H64" s="13">
        <f t="shared" si="42"/>
        <v>44989</v>
      </c>
      <c r="I64" s="102">
        <f t="shared" si="49"/>
        <v>45002</v>
      </c>
      <c r="J64" s="8">
        <v>19</v>
      </c>
      <c r="K64" s="8" t="s">
        <v>56</v>
      </c>
      <c r="L64" s="8">
        <v>9</v>
      </c>
      <c r="M64" s="8">
        <v>10</v>
      </c>
      <c r="N64" s="80">
        <f t="shared" si="43"/>
        <v>44976</v>
      </c>
      <c r="O64" s="14" t="s">
        <v>42</v>
      </c>
      <c r="P64" s="19">
        <f t="shared" si="44"/>
        <v>44989</v>
      </c>
      <c r="Q64" s="12">
        <f t="shared" si="45"/>
        <v>45002</v>
      </c>
      <c r="R64" s="15" t="b">
        <f t="shared" si="46"/>
        <v>0</v>
      </c>
      <c r="S64" s="15" t="str">
        <f>IF(Calculator!$E$11="","",IF($I$1&gt;=N64,IF($I$1&lt;=P64,"End","")))</f>
        <v/>
      </c>
      <c r="T64" s="12">
        <f t="shared" si="58"/>
        <v>14</v>
      </c>
      <c r="U64" s="12">
        <f t="shared" si="53"/>
        <v>14</v>
      </c>
      <c r="V64" s="85">
        <f>(Calculator!$F$15/Data!$T$72)*Data!U64</f>
        <v>3461.5384615384614</v>
      </c>
      <c r="W64" s="86">
        <f>IF(M64=10,(Calculator!$F$15/Data!$T$73)*Data!U64,0)</f>
        <v>4090.9090909090905</v>
      </c>
      <c r="X64" s="87">
        <f>IF(L64=9,(Calculator!$F$15/Data!$T$74)*Data!U64,0)</f>
        <v>4500</v>
      </c>
      <c r="Y64" s="78" t="b">
        <f>IF(Calculator!$E$7="Current",R64,IF(YEAR(I64)&amp;" "&amp;MONTH(I64)=$J$3,"Start",IF(I64&gt;$H$3,FALSE,"")))</f>
        <v>0</v>
      </c>
      <c r="Z64" s="91">
        <f>IF(S64=FALSE,0,IF(K64="Health",IF(Y64="Start",Calculator!$F$24/24,IF(Y64=FALSE,Calculator!$F$24/24,""))))</f>
        <v>504.58333333333331</v>
      </c>
      <c r="AA64" s="91">
        <f t="shared" ref="AA64:AB64" si="68">Z64</f>
        <v>504.58333333333331</v>
      </c>
      <c r="AB64" s="91">
        <f t="shared" si="68"/>
        <v>504.58333333333331</v>
      </c>
      <c r="AC64" s="78" t="b">
        <f t="shared" si="41"/>
        <v>0</v>
      </c>
      <c r="AD64" s="12">
        <f>IF(S64=FALSE,0,IF(Data!$I$4&gt;Data!$I$1,0,IF(S64="End",($I$1-N64)+1,IF(AC64=FALSE,T64,IF(AC64="Start",(P64-$I$4)+1,0)))))</f>
        <v>14</v>
      </c>
      <c r="AE64" s="21">
        <f>(Calculator!$F$23/Data!$T$72)*Data!AD64</f>
        <v>294.23076923076928</v>
      </c>
      <c r="AF64" s="21">
        <f>IF(M64=10,(Calculator!$F$23/Data!$T$73)*Data!AD64,0)</f>
        <v>347.72727272727275</v>
      </c>
      <c r="AG64" s="21">
        <f>IF(L64=9,(Calculator!$F$23/Data!$T$74)*Data!AD64,0)</f>
        <v>382.5</v>
      </c>
    </row>
    <row r="65" spans="6:33" x14ac:dyDescent="0.25">
      <c r="F65" s="13">
        <f t="shared" si="48"/>
        <v>44990</v>
      </c>
      <c r="G65" s="9" t="s">
        <v>42</v>
      </c>
      <c r="H65" s="13">
        <f t="shared" si="42"/>
        <v>45003</v>
      </c>
      <c r="I65" s="102">
        <f t="shared" si="49"/>
        <v>45016</v>
      </c>
      <c r="J65" s="8">
        <v>20</v>
      </c>
      <c r="K65" s="8"/>
      <c r="L65" s="8">
        <v>9</v>
      </c>
      <c r="M65" s="8">
        <v>10</v>
      </c>
      <c r="N65" s="80">
        <f t="shared" si="43"/>
        <v>44990</v>
      </c>
      <c r="O65" s="14" t="s">
        <v>42</v>
      </c>
      <c r="P65" s="19">
        <f t="shared" si="44"/>
        <v>45003</v>
      </c>
      <c r="Q65" s="12">
        <f t="shared" si="45"/>
        <v>45016</v>
      </c>
      <c r="R65" s="15" t="b">
        <f t="shared" si="46"/>
        <v>0</v>
      </c>
      <c r="S65" s="15" t="str">
        <f>IF(Calculator!$E$11="","",IF($I$1&gt;=N65,IF($I$1&lt;=P65,"End","")))</f>
        <v/>
      </c>
      <c r="T65" s="12">
        <f t="shared" si="58"/>
        <v>14</v>
      </c>
      <c r="U65" s="12">
        <f t="shared" si="53"/>
        <v>14</v>
      </c>
      <c r="V65" s="85">
        <f>(Calculator!$F$15/Data!$T$72)*Data!U65</f>
        <v>3461.5384615384614</v>
      </c>
      <c r="W65" s="86">
        <f>IF(M65=10,(Calculator!$F$15/Data!$T$73)*Data!U65,0)</f>
        <v>4090.9090909090905</v>
      </c>
      <c r="X65" s="87">
        <f>IF(L65=9,(Calculator!$F$15/Data!$T$74)*Data!U65,0)</f>
        <v>4500</v>
      </c>
      <c r="Y65" s="78" t="b">
        <f>IF(Calculator!$E$7="Current",R65,IF(YEAR(I65)&amp;" "&amp;MONTH(I65)=$J$3,"Start",IF(I65&gt;$H$3,FALSE,"")))</f>
        <v>0</v>
      </c>
      <c r="Z65" s="91" t="b">
        <f>IF(S65=FALSE,0,IF(K65="Health",IF(Y65="Start",Calculator!$F$24/24,IF(Y65=FALSE,Calculator!$F$24/24,""))))</f>
        <v>0</v>
      </c>
      <c r="AA65" s="91" t="b">
        <f t="shared" ref="AA65:AB65" si="69">Z65</f>
        <v>0</v>
      </c>
      <c r="AB65" s="91" t="b">
        <f t="shared" si="69"/>
        <v>0</v>
      </c>
      <c r="AC65" s="78" t="b">
        <f t="shared" si="41"/>
        <v>0</v>
      </c>
      <c r="AD65" s="12">
        <f>IF(S65=FALSE,0,IF(Data!$I$4&gt;Data!$I$1,0,IF(S65="End",($I$1-N65)+1,IF(AC65=FALSE,T65,IF(AC65="Start",(P65-$I$4)+1,0)))))</f>
        <v>14</v>
      </c>
      <c r="AE65" s="21">
        <f>(Calculator!$F$23/Data!$T$72)*Data!AD65</f>
        <v>294.23076923076928</v>
      </c>
      <c r="AF65" s="21">
        <f>IF(M65=10,(Calculator!$F$23/Data!$T$73)*Data!AD65,0)</f>
        <v>347.72727272727275</v>
      </c>
      <c r="AG65" s="21">
        <f>IF(L65=9,(Calculator!$F$23/Data!$T$74)*Data!AD65,0)</f>
        <v>382.5</v>
      </c>
    </row>
    <row r="66" spans="6:33" x14ac:dyDescent="0.25">
      <c r="F66" s="13">
        <f t="shared" si="48"/>
        <v>45004</v>
      </c>
      <c r="G66" s="9" t="s">
        <v>42</v>
      </c>
      <c r="H66" s="13">
        <f t="shared" si="42"/>
        <v>45017</v>
      </c>
      <c r="I66" s="102">
        <f t="shared" si="49"/>
        <v>45030</v>
      </c>
      <c r="J66" s="8">
        <v>21</v>
      </c>
      <c r="K66" s="8" t="s">
        <v>56</v>
      </c>
      <c r="L66" s="8">
        <v>9</v>
      </c>
      <c r="M66" s="8">
        <v>10</v>
      </c>
      <c r="N66" s="80">
        <f t="shared" si="43"/>
        <v>45004</v>
      </c>
      <c r="O66" s="14" t="s">
        <v>42</v>
      </c>
      <c r="P66" s="19">
        <f t="shared" si="44"/>
        <v>45017</v>
      </c>
      <c r="Q66" s="12">
        <f t="shared" si="45"/>
        <v>45030</v>
      </c>
      <c r="R66" s="15" t="b">
        <f t="shared" si="46"/>
        <v>0</v>
      </c>
      <c r="S66" s="15" t="str">
        <f>IF(Calculator!$E$11="","",IF($I$1&gt;=N66,IF($I$1&lt;=P66,"End","")))</f>
        <v/>
      </c>
      <c r="T66" s="12">
        <f t="shared" si="58"/>
        <v>14</v>
      </c>
      <c r="U66" s="12">
        <f t="shared" si="53"/>
        <v>14</v>
      </c>
      <c r="V66" s="85">
        <f>(Calculator!$F$15/Data!$T$72)*Data!U66</f>
        <v>3461.5384615384614</v>
      </c>
      <c r="W66" s="86">
        <f>IF(M66=10,(Calculator!$F$15/Data!$T$73)*Data!U66,0)</f>
        <v>4090.9090909090905</v>
      </c>
      <c r="X66" s="87">
        <f>IF(L66=9,(Calculator!$F$15/Data!$T$74)*Data!U66,0)</f>
        <v>4500</v>
      </c>
      <c r="Y66" s="78" t="b">
        <f>IF(Calculator!$E$7="Current",R66,IF(YEAR(I66)&amp;" "&amp;MONTH(I66)=$J$3,"Start",IF(I66&gt;$H$3,FALSE,"")))</f>
        <v>0</v>
      </c>
      <c r="Z66" s="91">
        <f>IF(S66=FALSE,0,IF(K66="Health",IF(Y66="Start",Calculator!$F$24/24,IF(Y66=FALSE,Calculator!$F$24/24,""))))</f>
        <v>504.58333333333331</v>
      </c>
      <c r="AA66" s="91">
        <f t="shared" ref="AA66:AB66" si="70">Z66</f>
        <v>504.58333333333331</v>
      </c>
      <c r="AB66" s="91">
        <f t="shared" si="70"/>
        <v>504.58333333333331</v>
      </c>
      <c r="AC66" s="78" t="b">
        <f t="shared" si="41"/>
        <v>0</v>
      </c>
      <c r="AD66" s="12">
        <f>IF(S66=FALSE,0,IF(Data!$I$4&gt;Data!$I$1,0,IF(S66="End",($I$1-N66)+1,IF(AC66=FALSE,T66,IF(AC66="Start",(P66-$I$4)+1,0)))))</f>
        <v>14</v>
      </c>
      <c r="AE66" s="21">
        <f>(Calculator!$F$23/Data!$T$72)*Data!AD66</f>
        <v>294.23076923076928</v>
      </c>
      <c r="AF66" s="21">
        <f>IF(M66=10,(Calculator!$F$23/Data!$T$73)*Data!AD66,0)</f>
        <v>347.72727272727275</v>
      </c>
      <c r="AG66" s="21">
        <f>IF(L66=9,(Calculator!$F$23/Data!$T$74)*Data!AD66,0)</f>
        <v>382.5</v>
      </c>
    </row>
    <row r="67" spans="6:33" x14ac:dyDescent="0.25">
      <c r="F67" s="13">
        <f t="shared" si="48"/>
        <v>45018</v>
      </c>
      <c r="G67" s="9" t="s">
        <v>42</v>
      </c>
      <c r="H67" s="13">
        <f t="shared" si="42"/>
        <v>45031</v>
      </c>
      <c r="I67" s="102">
        <f t="shared" si="49"/>
        <v>45044</v>
      </c>
      <c r="J67" s="8">
        <v>22</v>
      </c>
      <c r="K67" s="8" t="s">
        <v>56</v>
      </c>
      <c r="L67" s="8">
        <v>9</v>
      </c>
      <c r="M67" s="8">
        <v>10</v>
      </c>
      <c r="N67" s="80">
        <f t="shared" si="43"/>
        <v>45018</v>
      </c>
      <c r="O67" s="14" t="s">
        <v>42</v>
      </c>
      <c r="P67" s="19">
        <f t="shared" si="44"/>
        <v>45031</v>
      </c>
      <c r="Q67" s="12">
        <f t="shared" si="45"/>
        <v>45044</v>
      </c>
      <c r="R67" s="15" t="b">
        <f t="shared" si="46"/>
        <v>0</v>
      </c>
      <c r="S67" s="15" t="str">
        <f>IF(Calculator!$E$11="","",IF($I$1&gt;=N67,IF($I$1&lt;=P67,"End","")))</f>
        <v/>
      </c>
      <c r="T67" s="12">
        <f t="shared" si="58"/>
        <v>14</v>
      </c>
      <c r="U67" s="12">
        <f t="shared" si="53"/>
        <v>14</v>
      </c>
      <c r="V67" s="85">
        <f>(Calculator!$F$15/Data!$T$72)*Data!U67</f>
        <v>3461.5384615384614</v>
      </c>
      <c r="W67" s="86">
        <f>IF(M67=10,(Calculator!$F$15/Data!$T$73)*Data!U67,0)</f>
        <v>4090.9090909090905</v>
      </c>
      <c r="X67" s="87">
        <f>IF(L67=9,(Calculator!$F$15/Data!$T$74)*Data!U67,0)</f>
        <v>4500</v>
      </c>
      <c r="Y67" s="78" t="b">
        <f>IF(Calculator!$E$7="Current",R67,IF(YEAR(I67)&amp;" "&amp;MONTH(I67)=$J$3,"Start",IF(I67&gt;$H$3,FALSE,"")))</f>
        <v>0</v>
      </c>
      <c r="Z67" s="91">
        <f>IF(S67=FALSE,0,IF(K67="Health",IF(Y67="Start",Calculator!$F$24/24,IF(Y67=FALSE,Calculator!$F$24/24,""))))</f>
        <v>504.58333333333331</v>
      </c>
      <c r="AA67" s="91">
        <f t="shared" ref="AA67:AB67" si="71">Z67</f>
        <v>504.58333333333331</v>
      </c>
      <c r="AB67" s="91">
        <f t="shared" si="71"/>
        <v>504.58333333333331</v>
      </c>
      <c r="AC67" s="78" t="b">
        <f t="shared" si="41"/>
        <v>0</v>
      </c>
      <c r="AD67" s="12">
        <f>IF(S67=FALSE,0,IF(Data!$I$4&gt;Data!$I$1,0,IF(S67="End",($I$1-N67)+1,IF(AC67=FALSE,T67,IF(AC67="Start",(P67-$I$4)+1,0)))))</f>
        <v>14</v>
      </c>
      <c r="AE67" s="21">
        <f>(Calculator!$F$23/Data!$T$72)*Data!AD67</f>
        <v>294.23076923076928</v>
      </c>
      <c r="AF67" s="21">
        <f>IF(M67=10,(Calculator!$F$23/Data!$T$73)*Data!AD67,0)</f>
        <v>347.72727272727275</v>
      </c>
      <c r="AG67" s="21">
        <f>IF(L67=9,(Calculator!$F$23/Data!$T$74)*Data!AD67,0)</f>
        <v>382.5</v>
      </c>
    </row>
    <row r="68" spans="6:33" x14ac:dyDescent="0.25">
      <c r="F68" s="13">
        <f t="shared" si="48"/>
        <v>45032</v>
      </c>
      <c r="G68" s="9" t="s">
        <v>42</v>
      </c>
      <c r="H68" s="13">
        <f t="shared" si="42"/>
        <v>45045</v>
      </c>
      <c r="I68" s="102">
        <f t="shared" si="49"/>
        <v>45058</v>
      </c>
      <c r="J68" s="8">
        <v>23</v>
      </c>
      <c r="K68" s="8" t="s">
        <v>56</v>
      </c>
      <c r="L68" s="8">
        <v>9</v>
      </c>
      <c r="M68" s="8">
        <v>10</v>
      </c>
      <c r="N68" s="80">
        <f t="shared" si="43"/>
        <v>45032</v>
      </c>
      <c r="O68" s="14" t="s">
        <v>42</v>
      </c>
      <c r="P68" s="19">
        <f t="shared" si="44"/>
        <v>45045</v>
      </c>
      <c r="Q68" s="12">
        <f t="shared" si="45"/>
        <v>45058</v>
      </c>
      <c r="R68" s="15" t="b">
        <f t="shared" si="46"/>
        <v>0</v>
      </c>
      <c r="S68" s="15" t="str">
        <f>IF(Calculator!$E$11="","",IF($I$1&gt;=N68,IF($I$1&lt;=P68,"End","")))</f>
        <v/>
      </c>
      <c r="T68" s="12">
        <f t="shared" si="58"/>
        <v>14</v>
      </c>
      <c r="U68" s="12">
        <f t="shared" si="53"/>
        <v>14</v>
      </c>
      <c r="V68" s="85">
        <f>(Calculator!$F$15/Data!$T$72)*Data!U68</f>
        <v>3461.5384615384614</v>
      </c>
      <c r="W68" s="86">
        <f>IF(M68=10,(Calculator!$F$15/Data!$T$73)*Data!U68,0)</f>
        <v>4090.9090909090905</v>
      </c>
      <c r="X68" s="87">
        <f>IF(L68=9,(Calculator!$F$15/Data!$T$74)*Data!U68,0)</f>
        <v>4500</v>
      </c>
      <c r="Y68" s="78" t="b">
        <f>IF(Calculator!$E$7="Current",R68,IF(YEAR(I68)&amp;" "&amp;MONTH(I68)=$J$3,"Start",IF(I68&gt;$H$3,FALSE,"")))</f>
        <v>0</v>
      </c>
      <c r="Z68" s="91">
        <f>IF(S68=FALSE,0,IF(K68="Health",IF(Y68="Start",Calculator!$F$24/24,IF(Y68=FALSE,Calculator!$F$24/24,""))))</f>
        <v>504.58333333333331</v>
      </c>
      <c r="AA68" s="91">
        <f t="shared" ref="AA68:AB68" si="72">Z68</f>
        <v>504.58333333333331</v>
      </c>
      <c r="AB68" s="91">
        <f t="shared" si="72"/>
        <v>504.58333333333331</v>
      </c>
      <c r="AC68" s="78" t="b">
        <f t="shared" si="41"/>
        <v>0</v>
      </c>
      <c r="AD68" s="12">
        <f>IF(S68=FALSE,0,IF(Data!$I$4&gt;Data!$I$1,0,IF(S68="End",($I$1-N68)+1,IF(AC68=FALSE,T68,IF(AC68="Start",(P68-$I$4)+1,0)))))</f>
        <v>14</v>
      </c>
      <c r="AE68" s="21">
        <f>(Calculator!$F$23/Data!$T$72)*Data!AD68</f>
        <v>294.23076923076928</v>
      </c>
      <c r="AF68" s="21">
        <f>IF(M68=10,(Calculator!$F$23/Data!$T$73)*Data!AD68,0)</f>
        <v>347.72727272727275</v>
      </c>
      <c r="AG68" s="21">
        <f>IF(L68=9,(Calculator!$F$23/Data!$T$74)*Data!AD68,0)</f>
        <v>382.5</v>
      </c>
    </row>
    <row r="69" spans="6:33" x14ac:dyDescent="0.25">
      <c r="F69" s="13">
        <f t="shared" si="48"/>
        <v>45046</v>
      </c>
      <c r="G69" s="9" t="s">
        <v>42</v>
      </c>
      <c r="H69" s="13">
        <f t="shared" si="42"/>
        <v>45059</v>
      </c>
      <c r="I69" s="102">
        <f t="shared" si="49"/>
        <v>45072</v>
      </c>
      <c r="J69" s="8">
        <v>24</v>
      </c>
      <c r="K69" s="8" t="s">
        <v>56</v>
      </c>
      <c r="L69" s="8">
        <v>9</v>
      </c>
      <c r="M69" s="8">
        <v>10</v>
      </c>
      <c r="N69" s="80">
        <f t="shared" si="43"/>
        <v>45046</v>
      </c>
      <c r="O69" s="14" t="s">
        <v>42</v>
      </c>
      <c r="P69" s="19">
        <f t="shared" si="44"/>
        <v>45059</v>
      </c>
      <c r="Q69" s="12">
        <f t="shared" si="45"/>
        <v>45072</v>
      </c>
      <c r="R69" s="15" t="b">
        <f t="shared" si="46"/>
        <v>0</v>
      </c>
      <c r="S69" s="15" t="str">
        <f>IF(Calculator!$E$11="","",IF($I$1&gt;=N69,IF($I$1&lt;=P69,"End","")))</f>
        <v/>
      </c>
      <c r="T69" s="12">
        <f t="shared" si="58"/>
        <v>14</v>
      </c>
      <c r="U69" s="12">
        <f t="shared" si="53"/>
        <v>14</v>
      </c>
      <c r="V69" s="85">
        <f>(Calculator!$F$15/Data!$T$72)*Data!U69</f>
        <v>3461.5384615384614</v>
      </c>
      <c r="W69" s="86">
        <f>IF(M69=10,(Calculator!$F$15/Data!$T$73)*Data!U69,0)</f>
        <v>4090.9090909090905</v>
      </c>
      <c r="X69" s="87">
        <f>IF(L69=9,(Calculator!$F$15/Data!$T$74)*Data!U69,0)</f>
        <v>4500</v>
      </c>
      <c r="Y69" s="78" t="b">
        <f>IF(Calculator!$E$7="Current",R69,IF(YEAR(I69)&amp;" "&amp;MONTH(I69)=$J$3,"Start",IF(I69&gt;$H$3,FALSE,"")))</f>
        <v>0</v>
      </c>
      <c r="Z69" s="91">
        <f>IF(S69=FALSE,0,IF(K69="Health",IF(Y69="Start",Calculator!$F$24/24,IF(Y69=FALSE,Calculator!$F$24/24,""))))</f>
        <v>504.58333333333331</v>
      </c>
      <c r="AA69" s="91">
        <f t="shared" ref="AA69:AB69" si="73">Z69</f>
        <v>504.58333333333331</v>
      </c>
      <c r="AB69" s="91">
        <f t="shared" si="73"/>
        <v>504.58333333333331</v>
      </c>
      <c r="AC69" s="78" t="b">
        <f t="shared" si="41"/>
        <v>0</v>
      </c>
      <c r="AD69" s="12">
        <f>IF(S69=FALSE,0,IF(Data!$I$4&gt;Data!$I$1,0,IF(S69="End",($I$1-N69)+1,IF(AC69=FALSE,T69,IF(AC69="Start",(P69-$I$4)+1,0)))))</f>
        <v>14</v>
      </c>
      <c r="AE69" s="21">
        <f>(Calculator!$F$23/Data!$T$72)*Data!AD69</f>
        <v>294.23076923076928</v>
      </c>
      <c r="AF69" s="21">
        <f>IF(M69=10,(Calculator!$F$23/Data!$T$73)*Data!AD69,0)</f>
        <v>347.72727272727275</v>
      </c>
      <c r="AG69" s="21">
        <f>IF(L69=9,(Calculator!$F$23/Data!$T$74)*Data!AD69,0)</f>
        <v>382.5</v>
      </c>
    </row>
    <row r="70" spans="6:33" x14ac:dyDescent="0.25">
      <c r="F70" s="13">
        <f t="shared" si="48"/>
        <v>45060</v>
      </c>
      <c r="G70" s="9" t="s">
        <v>42</v>
      </c>
      <c r="H70" s="13">
        <f t="shared" si="42"/>
        <v>45073</v>
      </c>
      <c r="I70" s="102">
        <f t="shared" si="49"/>
        <v>45086</v>
      </c>
      <c r="J70" s="8">
        <v>25</v>
      </c>
      <c r="K70" s="8" t="s">
        <v>56</v>
      </c>
      <c r="L70" s="8"/>
      <c r="M70" s="8">
        <v>10</v>
      </c>
      <c r="N70" s="80">
        <f t="shared" si="43"/>
        <v>45060</v>
      </c>
      <c r="O70" s="14" t="s">
        <v>42</v>
      </c>
      <c r="P70" s="19">
        <f t="shared" si="44"/>
        <v>45073</v>
      </c>
      <c r="Q70" s="12">
        <f t="shared" si="45"/>
        <v>45086</v>
      </c>
      <c r="R70" s="15" t="b">
        <f t="shared" si="46"/>
        <v>0</v>
      </c>
      <c r="S70" s="15" t="str">
        <f>IF(Calculator!$E$11="","",IF($I$1&gt;=N70,IF($I$1&lt;=P70,"End","")))</f>
        <v/>
      </c>
      <c r="T70" s="12">
        <f t="shared" si="58"/>
        <v>14</v>
      </c>
      <c r="U70" s="12">
        <f t="shared" si="53"/>
        <v>14</v>
      </c>
      <c r="V70" s="85">
        <f>(Calculator!$F$15/Data!$T$72)*Data!U70</f>
        <v>3461.5384615384614</v>
      </c>
      <c r="W70" s="86">
        <f>IF(M70=10,(Calculator!$F$15/Data!$T$73)*Data!U70,0)</f>
        <v>4090.9090909090905</v>
      </c>
      <c r="X70" s="87">
        <f>IF(L70=9,(Calculator!$F$15/Data!$T$74)*Data!U70,0)</f>
        <v>0</v>
      </c>
      <c r="Y70" s="78" t="b">
        <f>IF(Calculator!$E$7="Current",R70,IF(YEAR(I70)&amp;" "&amp;MONTH(I70)=$J$3,"Start",IF(I70&gt;$H$3,FALSE,"")))</f>
        <v>0</v>
      </c>
      <c r="Z70" s="91">
        <f>IF(S70=FALSE,0,IF(K70="Health",IF(Y70="Start",Calculator!$F$24/24,IF(Y70=FALSE,Calculator!$F$24/24,""))))</f>
        <v>504.58333333333331</v>
      </c>
      <c r="AA70" s="91">
        <f t="shared" ref="AA70:AB70" si="74">Z70</f>
        <v>504.58333333333331</v>
      </c>
      <c r="AB70" s="91">
        <f t="shared" si="74"/>
        <v>504.58333333333331</v>
      </c>
      <c r="AC70" s="78" t="b">
        <f t="shared" si="41"/>
        <v>0</v>
      </c>
      <c r="AD70" s="12">
        <f>IF(S70=FALSE,0,IF(Data!$I$4&gt;Data!$I$1,0,IF(S70="End",($I$1-N70)+1,IF(AC70=FALSE,T70,IF(AC70="Start",(P70-$I$4)+1,0)))))</f>
        <v>14</v>
      </c>
      <c r="AE70" s="21">
        <f>(Calculator!$F$23/Data!$T$72)*Data!AD70</f>
        <v>294.23076923076928</v>
      </c>
      <c r="AF70" s="21">
        <f>IF(M70=10,(Calculator!$F$23/Data!$T$73)*Data!AD70,0)</f>
        <v>347.72727272727275</v>
      </c>
      <c r="AG70" s="21">
        <f>IF(L70=9,(Calculator!$F$23/Data!$T$74)*Data!AD70,0)</f>
        <v>0</v>
      </c>
    </row>
    <row r="71" spans="6:33" x14ac:dyDescent="0.25">
      <c r="F71" s="13">
        <f t="shared" si="48"/>
        <v>45074</v>
      </c>
      <c r="G71" s="9" t="s">
        <v>42</v>
      </c>
      <c r="H71" s="13">
        <f t="shared" si="42"/>
        <v>45087</v>
      </c>
      <c r="I71" s="102">
        <f t="shared" si="49"/>
        <v>45100</v>
      </c>
      <c r="J71" s="8">
        <v>26</v>
      </c>
      <c r="K71" s="8" t="s">
        <v>56</v>
      </c>
      <c r="L71" s="8"/>
      <c r="M71" s="8">
        <v>10</v>
      </c>
      <c r="N71" s="95">
        <f t="shared" si="43"/>
        <v>45074</v>
      </c>
      <c r="O71" s="30" t="s">
        <v>42</v>
      </c>
      <c r="P71" s="18">
        <f t="shared" si="44"/>
        <v>45087</v>
      </c>
      <c r="Q71" s="18">
        <f t="shared" si="45"/>
        <v>45100</v>
      </c>
      <c r="R71" s="27" t="b">
        <f t="shared" si="46"/>
        <v>0</v>
      </c>
      <c r="S71" s="27" t="str">
        <f>IF(Calculator!$E$11="","",IF($I$1&gt;=N71,IF($I$1&lt;=P71,"End","")))</f>
        <v/>
      </c>
      <c r="T71" s="18">
        <f t="shared" si="58"/>
        <v>14</v>
      </c>
      <c r="U71" s="101">
        <f t="shared" si="53"/>
        <v>14</v>
      </c>
      <c r="V71" s="88">
        <f>(Calculator!$F$15/Data!$T$72)*Data!U71</f>
        <v>3461.5384615384614</v>
      </c>
      <c r="W71" s="22">
        <f>IF(M71=10,(Calculator!$F$15/Data!$T$73)*Data!U71,0)</f>
        <v>4090.9090909090905</v>
      </c>
      <c r="X71" s="82">
        <f>IF(L71=9,(Calculator!$F$15/Data!$T$74)*Data!U71,0)</f>
        <v>0</v>
      </c>
      <c r="Y71" s="79" t="b">
        <f>IF(Calculator!$E$7="Current",R71,IF(YEAR(I71)&amp;" "&amp;MONTH(I71)=$J$3,"Start",IF(I71&gt;$H$3,FALSE,"")))</f>
        <v>0</v>
      </c>
      <c r="Z71" s="92">
        <f>IF(S71=FALSE,0,IF(K71="Health",IF(Y71="Start",Calculator!$F$24/24,IF(Y71=FALSE,Calculator!$F$24/24,""))))</f>
        <v>504.58333333333331</v>
      </c>
      <c r="AA71" s="92">
        <f t="shared" ref="AA71:AB71" si="75">Z71</f>
        <v>504.58333333333331</v>
      </c>
      <c r="AB71" s="96">
        <f t="shared" si="75"/>
        <v>504.58333333333331</v>
      </c>
      <c r="AC71" s="79" t="b">
        <f t="shared" si="41"/>
        <v>0</v>
      </c>
      <c r="AD71" s="18">
        <f>IF(S71=FALSE,0,IF(Data!$I$4&gt;Data!$I$1,0,IF(S71="End",($I$1-N71)+1,IF(AC71=FALSE,T71,IF(AC71="Start",(P71-$I$4)+1,0)))))</f>
        <v>14</v>
      </c>
      <c r="AE71" s="22">
        <f>(Calculator!$F$23/Data!$T$72)*Data!AD71</f>
        <v>294.23076923076928</v>
      </c>
      <c r="AF71" s="22">
        <f>IF(M71=10,(Calculator!$F$23/Data!$T$73)*Data!AD71,0)</f>
        <v>347.72727272727275</v>
      </c>
      <c r="AG71" s="22">
        <f>IF(L71=9,(Calculator!$F$23/Data!$T$74)*Data!AD71,0)</f>
        <v>0</v>
      </c>
    </row>
    <row r="72" spans="6:33" x14ac:dyDescent="0.25">
      <c r="N72" s="80"/>
      <c r="O72" s="19"/>
      <c r="P72" s="19"/>
      <c r="Q72" s="12"/>
      <c r="R72" s="12" t="s">
        <v>71</v>
      </c>
      <c r="S72" s="12"/>
      <c r="T72" s="19">
        <f>SUM(T46:T71)</f>
        <v>364</v>
      </c>
      <c r="U72" s="19">
        <f>SUM(U46:U71)</f>
        <v>364</v>
      </c>
      <c r="V72" s="89">
        <f>ROUND(SUM(V46:V71),0)</f>
        <v>90000</v>
      </c>
      <c r="W72" s="20">
        <f t="shared" ref="W72:X72" si="76">ROUND(SUM(W46:W71),0)</f>
        <v>90000</v>
      </c>
      <c r="X72" s="90">
        <f t="shared" si="76"/>
        <v>90000</v>
      </c>
      <c r="Y72" s="80"/>
      <c r="Z72" s="28">
        <f>ROUND(SUM(Z46:Z71),0)</f>
        <v>12110</v>
      </c>
      <c r="AA72" s="28">
        <f t="shared" ref="AA72:AB72" si="77">ROUND(SUM(AA46:AA71),0)</f>
        <v>12110</v>
      </c>
      <c r="AB72" s="28">
        <f t="shared" si="77"/>
        <v>12110</v>
      </c>
      <c r="AC72" s="80"/>
      <c r="AD72" s="12"/>
      <c r="AE72" s="28">
        <f>IFERROR(ROUND(SUM(AE45:AE71),0),0)</f>
        <v>7041</v>
      </c>
      <c r="AF72" s="28">
        <f t="shared" ref="AF72:AG72" si="78">IFERROR(ROUND(SUM(AF45:AF71),0),0)</f>
        <v>7650</v>
      </c>
      <c r="AG72" s="28">
        <f t="shared" si="78"/>
        <v>7650</v>
      </c>
    </row>
    <row r="73" spans="6:33" x14ac:dyDescent="0.25">
      <c r="R73" s="12" t="s">
        <v>65</v>
      </c>
      <c r="S73" s="12"/>
      <c r="T73" s="19">
        <f>SUMIF($M$46:$M$71,10,$T$46:$T$71)</f>
        <v>308</v>
      </c>
      <c r="Y73" s="97" t="s">
        <v>80</v>
      </c>
      <c r="AC73" s="23"/>
      <c r="AD73" s="23"/>
      <c r="AE73" s="31"/>
    </row>
    <row r="74" spans="6:33" x14ac:dyDescent="0.25">
      <c r="R74" s="12" t="s">
        <v>64</v>
      </c>
      <c r="S74" s="12"/>
      <c r="T74" s="19">
        <f>SUMIF($L$46:$L$71,9,$T$46:$T$71)</f>
        <v>280</v>
      </c>
    </row>
  </sheetData>
  <mergeCells count="15">
    <mergeCell ref="F44:I44"/>
    <mergeCell ref="N44:P44"/>
    <mergeCell ref="N9:P9"/>
    <mergeCell ref="F9:I9"/>
    <mergeCell ref="V43:X43"/>
    <mergeCell ref="F43:M43"/>
    <mergeCell ref="Y43:AB43"/>
    <mergeCell ref="A7:D7"/>
    <mergeCell ref="AC8:AG8"/>
    <mergeCell ref="AC43:AG43"/>
    <mergeCell ref="F7:AG7"/>
    <mergeCell ref="F42:AG42"/>
    <mergeCell ref="V8:X8"/>
    <mergeCell ref="F8:M8"/>
    <mergeCell ref="Y8:AB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Calculator</vt:lpstr>
      <vt:lpstr>Data</vt:lpstr>
      <vt:lpstr>Appointment</vt:lpstr>
      <vt:lpstr>Employee</vt:lpstr>
      <vt:lpstr>Insurance</vt:lpstr>
      <vt:lpstr>Position</vt:lpstr>
      <vt:lpstr>Calculator!Print_Area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David</dc:creator>
  <cp:lastModifiedBy>Miller, David</cp:lastModifiedBy>
  <cp:lastPrinted>2017-09-28T15:49:07Z</cp:lastPrinted>
  <dcterms:created xsi:type="dcterms:W3CDTF">2016-09-27T14:16:50Z</dcterms:created>
  <dcterms:modified xsi:type="dcterms:W3CDTF">2021-09-16T20:06:32Z</dcterms:modified>
</cp:coreProperties>
</file>